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rcy\OneDrive - UTS\M&amp;MB project\submission\"/>
    </mc:Choice>
  </mc:AlternateContent>
  <xr:revisionPtr revIDLastSave="0" documentId="13_ncr:1_{10E72BEC-E791-49AF-B609-400303511BBF}" xr6:coauthVersionLast="47" xr6:coauthVersionMax="47" xr10:uidLastSave="{00000000-0000-0000-0000-000000000000}"/>
  <bookViews>
    <workbookView xWindow="-120" yWindow="-120" windowWidth="29040" windowHeight="15720" activeTab="6" xr2:uid="{00211FCF-48BC-45D3-9CE4-4E3338EC9188}"/>
  </bookViews>
  <sheets>
    <sheet name="part a)" sheetId="1" r:id="rId1"/>
    <sheet name="part b)" sheetId="2" r:id="rId2"/>
    <sheet name="Part c)" sheetId="3" r:id="rId3"/>
    <sheet name="Part d)" sheetId="4" r:id="rId4"/>
    <sheet name="Part e)" sheetId="5" r:id="rId5"/>
    <sheet name="Part f)" sheetId="6" r:id="rId6"/>
    <sheet name="Part g)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1" i="2" l="1"/>
  <c r="A199" i="4"/>
  <c r="B199" i="4"/>
  <c r="A204" i="4"/>
  <c r="B8" i="7"/>
  <c r="B7" i="7"/>
  <c r="B6" i="7"/>
  <c r="C99" i="6"/>
  <c r="C98" i="6"/>
  <c r="C96" i="6"/>
  <c r="C95" i="6"/>
  <c r="A100" i="6"/>
  <c r="A99" i="6"/>
  <c r="A98" i="6"/>
  <c r="A97" i="6"/>
  <c r="A96" i="6"/>
  <c r="A95" i="6"/>
  <c r="A90" i="6"/>
  <c r="A60" i="6"/>
  <c r="A51" i="6"/>
  <c r="A50" i="6"/>
  <c r="A44" i="6"/>
  <c r="A16" i="6"/>
  <c r="A15" i="6"/>
  <c r="A24" i="6"/>
  <c r="A37" i="6"/>
  <c r="A36" i="6"/>
  <c r="A43" i="6" s="1"/>
  <c r="A504" i="5"/>
  <c r="A502" i="5"/>
  <c r="A498" i="5"/>
  <c r="A488" i="5"/>
  <c r="A483" i="5"/>
  <c r="A437" i="5"/>
  <c r="A439" i="5" s="1"/>
  <c r="A421" i="5"/>
  <c r="A450" i="5" s="1"/>
  <c r="A419" i="5"/>
  <c r="E419" i="5" s="1"/>
  <c r="G155" i="5"/>
  <c r="A217" i="5" s="1"/>
  <c r="A188" i="5"/>
  <c r="A179" i="5"/>
  <c r="A77" i="5"/>
  <c r="A41" i="5"/>
  <c r="B32" i="5"/>
  <c r="A147" i="5" s="1"/>
  <c r="B28" i="5"/>
  <c r="A148" i="5" s="1"/>
  <c r="A310" i="4"/>
  <c r="A294" i="4"/>
  <c r="B269" i="4"/>
  <c r="B268" i="4"/>
  <c r="A229" i="4"/>
  <c r="A237" i="4" s="1"/>
  <c r="A238" i="4" s="1"/>
  <c r="A222" i="4"/>
  <c r="A270" i="4" s="1"/>
  <c r="A44" i="1"/>
  <c r="M175" i="4"/>
  <c r="B201" i="4"/>
  <c r="B200" i="4"/>
  <c r="A201" i="4"/>
  <c r="A200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D175" i="4"/>
  <c r="E175" i="4"/>
  <c r="F175" i="4"/>
  <c r="G175" i="4"/>
  <c r="H175" i="4"/>
  <c r="I175" i="4"/>
  <c r="J175" i="4"/>
  <c r="K175" i="4"/>
  <c r="L175" i="4"/>
  <c r="N175" i="4"/>
  <c r="O175" i="4"/>
  <c r="P175" i="4"/>
  <c r="Q175" i="4"/>
  <c r="R175" i="4"/>
  <c r="S175" i="4"/>
  <c r="T175" i="4"/>
  <c r="U175" i="4"/>
  <c r="V175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73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29" i="4"/>
  <c r="D122" i="4"/>
  <c r="A96" i="4"/>
  <c r="C122" i="4" s="1"/>
  <c r="A90" i="4"/>
  <c r="A83" i="4"/>
  <c r="A61" i="4"/>
  <c r="D47" i="4"/>
  <c r="A50" i="4" s="1"/>
  <c r="A223" i="4" s="1"/>
  <c r="A42" i="4"/>
  <c r="A51" i="4" s="1"/>
  <c r="A60" i="4" s="1"/>
  <c r="A511" i="3"/>
  <c r="A491" i="3"/>
  <c r="A477" i="3"/>
  <c r="A476" i="3"/>
  <c r="A472" i="3"/>
  <c r="A467" i="3"/>
  <c r="A446" i="3"/>
  <c r="A445" i="3"/>
  <c r="A441" i="3"/>
  <c r="A438" i="3"/>
  <c r="A464" i="3"/>
  <c r="F446" i="3"/>
  <c r="A449" i="3"/>
  <c r="A420" i="3"/>
  <c r="A412" i="3"/>
  <c r="A409" i="3"/>
  <c r="A408" i="3"/>
  <c r="A382" i="3"/>
  <c r="A344" i="3"/>
  <c r="A381" i="3"/>
  <c r="A391" i="3" s="1"/>
  <c r="A392" i="3" s="1"/>
  <c r="A335" i="3"/>
  <c r="A338" i="3" s="1"/>
  <c r="A367" i="3" s="1"/>
  <c r="A371" i="2"/>
  <c r="A370" i="2"/>
  <c r="A347" i="2"/>
  <c r="A327" i="2"/>
  <c r="A303" i="2"/>
  <c r="A300" i="2"/>
  <c r="A286" i="2"/>
  <c r="A329" i="2" s="1"/>
  <c r="A285" i="2"/>
  <c r="A328" i="2" s="1"/>
  <c r="A287" i="2"/>
  <c r="A271" i="2"/>
  <c r="A369" i="2" s="1"/>
  <c r="A373" i="2" s="1"/>
  <c r="A259" i="2"/>
  <c r="D253" i="2"/>
  <c r="E253" i="2" s="1"/>
  <c r="D254" i="2"/>
  <c r="E254" i="2" s="1"/>
  <c r="D255" i="2"/>
  <c r="E255" i="2" s="1"/>
  <c r="D256" i="2"/>
  <c r="E256" i="2" s="1"/>
  <c r="D252" i="2"/>
  <c r="E252" i="2" s="1"/>
  <c r="B253" i="2"/>
  <c r="B254" i="2"/>
  <c r="B255" i="2"/>
  <c r="B256" i="2"/>
  <c r="B252" i="2"/>
  <c r="A261" i="2"/>
  <c r="A242" i="2"/>
  <c r="A240" i="2"/>
  <c r="A227" i="2"/>
  <c r="A214" i="2"/>
  <c r="A216" i="2" s="1"/>
  <c r="A273" i="2" s="1"/>
  <c r="B302" i="3"/>
  <c r="A124" i="3"/>
  <c r="A71" i="3"/>
  <c r="A82" i="3" s="1"/>
  <c r="A51" i="3"/>
  <c r="A33" i="3"/>
  <c r="E302" i="3" s="1"/>
  <c r="A35" i="3"/>
  <c r="A52" i="3" s="1"/>
  <c r="A26" i="3"/>
  <c r="A29" i="3" s="1"/>
  <c r="A167" i="2"/>
  <c r="A166" i="2"/>
  <c r="A187" i="2"/>
  <c r="A185" i="2"/>
  <c r="A180" i="2"/>
  <c r="A182" i="2"/>
  <c r="A165" i="2"/>
  <c r="A73" i="2"/>
  <c r="A74" i="2" s="1"/>
  <c r="A69" i="2"/>
  <c r="A134" i="2" s="1"/>
  <c r="A68" i="2"/>
  <c r="A133" i="2" s="1"/>
  <c r="A55" i="2"/>
  <c r="A49" i="2"/>
  <c r="D41" i="2"/>
  <c r="E41" i="2" s="1"/>
  <c r="D42" i="2"/>
  <c r="E42" i="2" s="1"/>
  <c r="D43" i="2"/>
  <c r="E43" i="2" s="1"/>
  <c r="D44" i="2"/>
  <c r="E44" i="2" s="1"/>
  <c r="D40" i="2"/>
  <c r="E40" i="2" s="1"/>
  <c r="B41" i="2"/>
  <c r="B42" i="2"/>
  <c r="B43" i="2"/>
  <c r="B44" i="2"/>
  <c r="B40" i="2"/>
  <c r="A31" i="2"/>
  <c r="A24" i="2"/>
  <c r="A11" i="2"/>
  <c r="A13" i="2" s="1"/>
  <c r="A57" i="2" s="1"/>
  <c r="A172" i="2" s="1"/>
  <c r="A181" i="2" s="1"/>
  <c r="A25" i="1"/>
  <c r="A29" i="1" s="1"/>
  <c r="E57" i="1" s="1"/>
  <c r="A35" i="1" s="1"/>
  <c r="A46" i="1" s="1"/>
  <c r="A50" i="1" s="1"/>
  <c r="A276" i="2" l="1"/>
  <c r="A376" i="2"/>
  <c r="A301" i="2"/>
  <c r="A302" i="2"/>
  <c r="F303" i="2"/>
  <c r="A332" i="2"/>
  <c r="A335" i="2" s="1"/>
  <c r="A169" i="2"/>
  <c r="A188" i="2"/>
  <c r="A206" i="4"/>
  <c r="A205" i="4"/>
  <c r="A220" i="4"/>
  <c r="A230" i="4" s="1"/>
  <c r="A256" i="4" s="1"/>
  <c r="A66" i="6"/>
  <c r="A69" i="6" s="1"/>
  <c r="A71" i="6" s="1"/>
  <c r="A455" i="5"/>
  <c r="A149" i="5"/>
  <c r="A418" i="5" s="1"/>
  <c r="A422" i="5" s="1"/>
  <c r="A166" i="5"/>
  <c r="A167" i="5" s="1"/>
  <c r="A97" i="4"/>
  <c r="A62" i="4"/>
  <c r="A65" i="4" s="1"/>
  <c r="A113" i="4"/>
  <c r="A109" i="4"/>
  <c r="E122" i="4" s="1"/>
  <c r="A354" i="3"/>
  <c r="A384" i="3"/>
  <c r="A106" i="3"/>
  <c r="A98" i="3"/>
  <c r="A72" i="3"/>
  <c r="A305" i="2"/>
  <c r="A378" i="2"/>
  <c r="A336" i="2"/>
  <c r="A174" i="2"/>
  <c r="A54" i="3"/>
  <c r="A73" i="3" s="1"/>
  <c r="A60" i="2"/>
  <c r="A112" i="2"/>
  <c r="A186" i="2" s="1"/>
  <c r="A113" i="2"/>
  <c r="A184" i="2" s="1"/>
  <c r="A86" i="2"/>
  <c r="A87" i="2"/>
  <c r="A85" i="2"/>
  <c r="A88" i="2"/>
  <c r="A70" i="2"/>
  <c r="A34" i="1"/>
  <c r="A45" i="1" s="1"/>
  <c r="A49" i="1" s="1"/>
  <c r="E56" i="1"/>
  <c r="A33" i="1" s="1"/>
  <c r="A48" i="1" s="1"/>
  <c r="A116" i="2" l="1"/>
  <c r="A70" i="6"/>
  <c r="A72" i="6" s="1"/>
  <c r="B122" i="4"/>
  <c r="A221" i="4"/>
  <c r="A232" i="4"/>
  <c r="A271" i="4" s="1"/>
  <c r="G167" i="5"/>
  <c r="A178" i="5"/>
  <c r="A461" i="5"/>
  <c r="A467" i="5" s="1"/>
  <c r="A468" i="5" s="1"/>
  <c r="A423" i="5"/>
  <c r="A425" i="5" s="1"/>
  <c r="A426" i="5" s="1"/>
  <c r="G122" i="4"/>
  <c r="F122" i="4" s="1"/>
  <c r="B125" i="4" s="1"/>
  <c r="A101" i="4"/>
  <c r="A105" i="3"/>
  <c r="F106" i="3" s="1"/>
  <c r="A101" i="3"/>
  <c r="A127" i="3"/>
  <c r="A338" i="2"/>
  <c r="A348" i="2" s="1"/>
  <c r="A349" i="2" s="1"/>
  <c r="A352" i="2" s="1"/>
  <c r="F88" i="2"/>
  <c r="A90" i="2"/>
  <c r="A120" i="2" l="1"/>
  <c r="A119" i="2"/>
  <c r="A209" i="4"/>
  <c r="A214" i="4" s="1"/>
  <c r="A211" i="4"/>
  <c r="A210" i="4"/>
  <c r="A239" i="4"/>
  <c r="A251" i="4"/>
  <c r="A269" i="4" s="1"/>
  <c r="A209" i="5"/>
  <c r="A180" i="5"/>
  <c r="A104" i="4"/>
  <c r="A496" i="3"/>
  <c r="A516" i="3"/>
  <c r="A109" i="3"/>
  <c r="A132" i="3"/>
  <c r="A136" i="3" s="1"/>
  <c r="A137" i="3" s="1"/>
  <c r="A122" i="2" l="1"/>
  <c r="A303" i="4"/>
  <c r="A313" i="4" s="1"/>
  <c r="A240" i="4"/>
  <c r="A242" i="4" s="1"/>
  <c r="A246" i="4" s="1"/>
  <c r="A268" i="4" s="1"/>
  <c r="A274" i="4" s="1"/>
  <c r="A275" i="4" s="1"/>
  <c r="A292" i="4" s="1"/>
  <c r="A324" i="4" s="1"/>
  <c r="D180" i="5"/>
  <c r="A191" i="5"/>
  <c r="D191" i="5" s="1"/>
  <c r="A190" i="5"/>
  <c r="D190" i="5" s="1"/>
  <c r="D209" i="5"/>
  <c r="A218" i="5"/>
  <c r="D218" i="5" s="1"/>
  <c r="A500" i="3"/>
  <c r="E500" i="3" s="1"/>
  <c r="A519" i="3"/>
  <c r="E519" i="3" s="1"/>
  <c r="F302" i="3"/>
  <c r="A171" i="3"/>
  <c r="A151" i="3"/>
  <c r="A189" i="2" l="1"/>
  <c r="A135" i="2"/>
  <c r="A176" i="3"/>
  <c r="A156" i="3"/>
  <c r="A137" i="2" l="1"/>
  <c r="A138" i="2" s="1"/>
  <c r="A141" i="2"/>
  <c r="A143" i="2" s="1"/>
  <c r="A160" i="3"/>
  <c r="E160" i="3" s="1"/>
  <c r="A179" i="3"/>
  <c r="E17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tc={58DBD2CA-B9FF-4F1E-804B-58F79409536B}</author>
    <author>tc={64BB844B-824A-43E5-94C6-879081855F75}</author>
  </authors>
  <commentList>
    <comment ref="B76" authorId="0" shapeId="0" xr:uid="{58DBD2CA-B9FF-4F1E-804B-58F79409536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First impression is that it will be hard to reduce the speed if the pinion gear is already 144 teeth. </t>
      </text>
    </comment>
    <comment ref="D94" authorId="1" shapeId="0" xr:uid="{64BB844B-824A-43E5-94C6-879081855F75}">
      <text>
        <t>[Threaded comment]
Your version of Excel allows you to read this threaded comment; however, any edits to it will get removed if the file is opened in a newer version of Excel. Learn more: https://go.microsoft.com/fwlink/?linkid=870924
Comment:
    Perfect</t>
      </text>
    </comment>
  </commentList>
</comments>
</file>

<file path=xl/sharedStrings.xml><?xml version="1.0" encoding="utf-8"?>
<sst xmlns="http://schemas.openxmlformats.org/spreadsheetml/2006/main" count="936" uniqueCount="610">
  <si>
    <t>Selecting TCI/TCIM motor</t>
  </si>
  <si>
    <t>Driven machine speed = 80 rpm ±5%</t>
  </si>
  <si>
    <t xml:space="preserve">Your motor’s rated power should be 30, 37 or 45 kW </t>
  </si>
  <si>
    <r>
      <t xml:space="preserve"> </t>
    </r>
    <r>
      <rPr>
        <i/>
        <u/>
        <sz val="11"/>
        <color rgb="FF00B0F0"/>
        <rFont val="Aptos"/>
        <family val="2"/>
      </rPr>
      <t>and 98% efficiency for the gearbox</t>
    </r>
    <r>
      <rPr>
        <i/>
        <sz val="11"/>
        <color rgb="FF00B0F0"/>
        <rFont val="Aptos"/>
        <family val="2"/>
      </rPr>
      <t xml:space="preserve"> </t>
    </r>
  </si>
  <si>
    <r>
      <t>Assume</t>
    </r>
    <r>
      <rPr>
        <i/>
        <u/>
        <sz val="11"/>
        <color rgb="FF00B0F0"/>
        <rFont val="Aptos"/>
        <family val="2"/>
      </rPr>
      <t xml:space="preserve"> 95% efficiency for belt/chain drive</t>
    </r>
  </si>
  <si>
    <t>4-pole</t>
  </si>
  <si>
    <t>speed approx. 1475rpm</t>
  </si>
  <si>
    <t>T</t>
  </si>
  <si>
    <t>n</t>
  </si>
  <si>
    <t>E_belt/chain</t>
  </si>
  <si>
    <t>E_gearbox</t>
  </si>
  <si>
    <t>travels through belt/chain drive first</t>
  </si>
  <si>
    <t>Then gearbox</t>
  </si>
  <si>
    <t>Requires 3400Nm of torque at driven machine,</t>
  </si>
  <si>
    <t>Therefore need to calc drive motor required torque</t>
  </si>
  <si>
    <t>x</t>
  </si>
  <si>
    <t>desired motor torque</t>
  </si>
  <si>
    <t>Driven machine Torque requirements = 3400nm</t>
  </si>
  <si>
    <t>T = P/n</t>
  </si>
  <si>
    <t>where,</t>
  </si>
  <si>
    <t>T = torque Nm</t>
  </si>
  <si>
    <t>P = power W</t>
  </si>
  <si>
    <t>For driven motor:</t>
  </si>
  <si>
    <t>=T (Nm)</t>
  </si>
  <si>
    <t>--&gt;</t>
  </si>
  <si>
    <t>Calculate power:</t>
  </si>
  <si>
    <t>=P (W)</t>
  </si>
  <si>
    <t>=P (W) (+80*5%)</t>
  </si>
  <si>
    <t>=P (W) (-80*5%)</t>
  </si>
  <si>
    <t>upper value of required P in W</t>
  </si>
  <si>
    <t>lower value of required P in W</t>
  </si>
  <si>
    <t>kW</t>
  </si>
  <si>
    <t>rad/s = RPM * 2pi/60</t>
  </si>
  <si>
    <t>n = speed in rad/s</t>
  </si>
  <si>
    <t>rad/s</t>
  </si>
  <si>
    <t>Convert 80 rpm to rad/s:</t>
  </si>
  <si>
    <t>Therefore, the Power required from the drive motor should between 32kW and 29kW</t>
  </si>
  <si>
    <t>as the power can possibly be up to 32kW, the next available motor is 37kW.</t>
  </si>
  <si>
    <t>Therefore, the TechTop 37kW motor at 1475rpm, i.e. frame size 225S will be used.</t>
  </si>
  <si>
    <t>Full load speed rpm</t>
  </si>
  <si>
    <t>frame size</t>
  </si>
  <si>
    <t>shaft diameter mm</t>
  </si>
  <si>
    <t>This motor has the following key parameters</t>
  </si>
  <si>
    <t>current at 400v (A) full load</t>
  </si>
  <si>
    <t>efficiency full load (%)</t>
  </si>
  <si>
    <t>power factor full load (%)</t>
  </si>
  <si>
    <t>Torque (Nm) Full load</t>
  </si>
  <si>
    <t>Noise level dB (A)</t>
  </si>
  <si>
    <t>Weight foot mount Kg</t>
  </si>
  <si>
    <t>225S</t>
  </si>
  <si>
    <t>Step 1: Calculate Design power</t>
  </si>
  <si>
    <t>Design power = input power (hp) * service factor</t>
  </si>
  <si>
    <t>From table 7-1 Mott:</t>
  </si>
  <si>
    <t>System operation</t>
  </si>
  <si>
    <r>
      <t>a.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ptos"/>
        <family val="2"/>
      </rPr>
      <t>5 hours a day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</si>
  <si>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ptos"/>
        <family val="2"/>
      </rPr>
      <t>5 days a week</t>
    </r>
  </si>
  <si>
    <r>
      <t>c.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ptos"/>
        <family val="2"/>
      </rPr>
      <t>Working life of 10 years</t>
    </r>
  </si>
  <si>
    <t>Given (&lt;6 h a day)</t>
  </si>
  <si>
    <t>Service factor</t>
  </si>
  <si>
    <t>hp</t>
  </si>
  <si>
    <r>
      <t>Belt: 5V (</t>
    </r>
    <r>
      <rPr>
        <sz val="11"/>
        <color theme="1"/>
        <rFont val="Aptos Narrow"/>
        <family val="2"/>
        <scheme val="minor"/>
      </rPr>
      <t>from fig 7-13)</t>
    </r>
  </si>
  <si>
    <t>convert to hp (multiply by 1.34102):</t>
  </si>
  <si>
    <t>Design Power (hp)</t>
  </si>
  <si>
    <t>Step 2: Select belt</t>
  </si>
  <si>
    <t>Step 3: Calculate the nominal speed ratio</t>
  </si>
  <si>
    <t>Motor speed (RPM)</t>
  </si>
  <si>
    <t>speed at gearbox (RPM)</t>
  </si>
  <si>
    <t>&lt;--- nominal, subject to change</t>
  </si>
  <si>
    <t>no particular reason why this no. chosen</t>
  </si>
  <si>
    <t>Step 4: Compute driving sheave nominal size (for nominal belt speed 4000ft/min</t>
  </si>
  <si>
    <t>motor speed rpm</t>
  </si>
  <si>
    <t>belt speed ft/min</t>
  </si>
  <si>
    <t>d_driving (in)</t>
  </si>
  <si>
    <t>^mott figs 7-14 to 7-16</t>
  </si>
  <si>
    <t>Step 5: Select standard size input and output sheaves &amp; calc actual output speed</t>
  </si>
  <si>
    <t>closest to 10.2in</t>
  </si>
  <si>
    <t>rated power (from fig 7-15)</t>
  </si>
  <si>
    <t>approx. driven sheave size (2*D_1)</t>
  </si>
  <si>
    <t>Standard sheave sizes, D_1):</t>
  </si>
  <si>
    <t>Actual speed output</t>
  </si>
  <si>
    <t>Difference from 737.5rpm</t>
  </si>
  <si>
    <t>Calculate actual belt speed</t>
  </si>
  <si>
    <t>d_driving</t>
  </si>
  <si>
    <t>omega_driving</t>
  </si>
  <si>
    <t>v_belt (ft/min)</t>
  </si>
  <si>
    <t>Step 6: Determine the rated power from the ratings charts</t>
  </si>
  <si>
    <t>Adding 1.6hp to rated power based on fig 7-17</t>
  </si>
  <si>
    <t>added power</t>
  </si>
  <si>
    <t>(rounded down for safety)</t>
  </si>
  <si>
    <t>rated power per belt (fig 7-15)</t>
  </si>
  <si>
    <t>new rated power per belt (hp)</t>
  </si>
  <si>
    <t>Design power (hp)</t>
  </si>
  <si>
    <t>Calc how many belts are needed</t>
  </si>
  <si>
    <t>Round this number up</t>
  </si>
  <si>
    <t>Therefore atleast 3 belts are needed.</t>
  </si>
  <si>
    <t>number of belts required</t>
  </si>
  <si>
    <t>Step 7: specify a trial centre distance, CD.</t>
  </si>
  <si>
    <t>Use mott eq. 7-17 to determine nominal acceptable range.</t>
  </si>
  <si>
    <t>Nearest standard sheave size (D_2)</t>
  </si>
  <si>
    <t xml:space="preserve"> equ 7-17 = D_2 &lt; CD &lt; 3*(D_2 + D_1)</t>
  </si>
  <si>
    <t>D_2</t>
  </si>
  <si>
    <t>D_1</t>
  </si>
  <si>
    <t xml:space="preserve"> 10.8 &lt; CD &lt; 95.7</t>
  </si>
  <si>
    <t xml:space="preserve"> =(3* D_2 +D_1)</t>
  </si>
  <si>
    <t>Trial CD (in)</t>
  </si>
  <si>
    <t>(i.e. something towards smaller end)</t>
  </si>
  <si>
    <t>Step 8: Determine required belt length</t>
  </si>
  <si>
    <t>Use Mott Equ. 7-12</t>
  </si>
  <si>
    <t>=2CD</t>
  </si>
  <si>
    <t>=1.57*(D_2 + D_1)</t>
  </si>
  <si>
    <t>=(D_2 - D_1)^2</t>
  </si>
  <si>
    <t>=4CD</t>
  </si>
  <si>
    <t xml:space="preserve"> --&gt; divide these</t>
  </si>
  <si>
    <t>=L (in)</t>
  </si>
  <si>
    <t>Between:</t>
  </si>
  <si>
    <t>in</t>
  </si>
  <si>
    <t>--&gt; both of these are standard belt sizes</t>
  </si>
  <si>
    <t>Step 9: Select standard belt length (table 7-2)</t>
  </si>
  <si>
    <t>Closer to 106, therefore we will chose 106in</t>
  </si>
  <si>
    <t>Step 10: Calculate actual sentre distance (equ. 7-13)</t>
  </si>
  <si>
    <t>Given:</t>
  </si>
  <si>
    <t>L</t>
  </si>
  <si>
    <t>First, calc B</t>
  </si>
  <si>
    <t>=B</t>
  </si>
  <si>
    <t>Next, Calc CD</t>
  </si>
  <si>
    <t>= the sqrt</t>
  </si>
  <si>
    <t>= denom.</t>
  </si>
  <si>
    <t>=CD</t>
  </si>
  <si>
    <t>Step 10: Calculate angle of wrap on small sheave</t>
  </si>
  <si>
    <t>Use Mott Equ. 7-14</t>
  </si>
  <si>
    <t>degrees</t>
  </si>
  <si>
    <t>CD</t>
  </si>
  <si>
    <t>=2*asin</t>
  </si>
  <si>
    <t>Theta_1</t>
  </si>
  <si>
    <t>Using a calculator, Theta_1 =…</t>
  </si>
  <si>
    <t>Theta_1 (degrees)</t>
  </si>
  <si>
    <t>--&gt; having trouble with excel inputs. INCORRECT NO.</t>
  </si>
  <si>
    <t>Step 11: Determine angle of wrap and belt length correction factors</t>
  </si>
  <si>
    <t>Use mott fig 7-18 and 7-19</t>
  </si>
  <si>
    <t>For Theta = 158.4 degrees</t>
  </si>
  <si>
    <t>C_Theta, From fig 7-18</t>
  </si>
  <si>
    <t>C_L, From fig 7-19</t>
  </si>
  <si>
    <t xml:space="preserve">Corrected pwer rating per belt: </t>
  </si>
  <si>
    <t>= C_theta * C_L * P</t>
  </si>
  <si>
    <t>Rated power per belt, P (from step 6)</t>
  </si>
  <si>
    <t>Step 12: Calculate the corrected power rating per belt &amp; no. belts required</t>
  </si>
  <si>
    <t>= corrected power rating per belt, (hp)</t>
  </si>
  <si>
    <t>Minimum no. belts = design power/ corrected belt power</t>
  </si>
  <si>
    <t>= design power (hp), from step 6</t>
  </si>
  <si>
    <t xml:space="preserve">Rounding up, </t>
  </si>
  <si>
    <t>= minimum no. belts required</t>
  </si>
  <si>
    <t>Summary:</t>
  </si>
  <si>
    <t>5V, 106in length</t>
  </si>
  <si>
    <t>belts</t>
  </si>
  <si>
    <t>Driving sheave diameter</t>
  </si>
  <si>
    <t>Driving sheave no. grooves</t>
  </si>
  <si>
    <t>Driven sheave diameter</t>
  </si>
  <si>
    <t>Driven sheave no. grooves</t>
  </si>
  <si>
    <t>Actual output speed</t>
  </si>
  <si>
    <t>Centre distance</t>
  </si>
  <si>
    <t>units</t>
  </si>
  <si>
    <t>rpm</t>
  </si>
  <si>
    <t>&lt;-- to get down to 3 belts, increase centre dist.</t>
  </si>
  <si>
    <t>Iterating to get down to 3 belts:</t>
  </si>
  <si>
    <t>C_L or C_theta should be increased</t>
  </si>
  <si>
    <t>But how much better is having 3 belts and a larger design versus 4 belts and being overbuilt?</t>
  </si>
  <si>
    <t>--&gt; Comparison:</t>
  </si>
  <si>
    <t>From part A:</t>
  </si>
  <si>
    <t xml:space="preserve"> "the TechTop 37kW motor at 1475rpm, i.e. frame size 225S will be used."</t>
  </si>
  <si>
    <t>Output (kw)</t>
  </si>
  <si>
    <t>Full Load Speed (RPM)</t>
  </si>
  <si>
    <t>Frame Size</t>
  </si>
  <si>
    <t>Shaft Diameter</t>
  </si>
  <si>
    <t>Efficency Full Load (%)</t>
  </si>
  <si>
    <t>Power Factor Full Load (%)</t>
  </si>
  <si>
    <t>Torque Full Load (Nm)</t>
  </si>
  <si>
    <t>250M</t>
  </si>
  <si>
    <t>Current @ 400v Full Load (A)</t>
  </si>
  <si>
    <t>Step 1: Compute the design power</t>
  </si>
  <si>
    <t>Service factor (From table 7-17)</t>
  </si>
  <si>
    <t>convert kW to hp (multiply by 1.34102):</t>
  </si>
  <si>
    <t>Calc design power (Service factor * Power (hp))</t>
  </si>
  <si>
    <t>Step 2: Calculate the nominal speed ratio</t>
  </si>
  <si>
    <t>Step 3: Refer to tables 7-14 to 7-16 for power capacity and select chain pitch</t>
  </si>
  <si>
    <t>Using the 980rpm version (From tech top catelogue):</t>
  </si>
  <si>
    <t>From table 7-16 (must be 7-16 i.e. chain no.80 as others are not rated to 74.4hp)</t>
  </si>
  <si>
    <t>no. teeth, N</t>
  </si>
  <si>
    <t>pitch, (in)</t>
  </si>
  <si>
    <t>Type C</t>
  </si>
  <si>
    <t>Chain size</t>
  </si>
  <si>
    <t>no.80</t>
  </si>
  <si>
    <t>Lubrication type required (Oil stream)</t>
  </si>
  <si>
    <t>Step 4: Determine no. teeth of large sprocket</t>
  </si>
  <si>
    <t>N_1</t>
  </si>
  <si>
    <t>Ratio</t>
  </si>
  <si>
    <t>N_2</t>
  </si>
  <si>
    <t>Step 5: Determine actual output speed and check it is within limits</t>
  </si>
  <si>
    <t>--&gt; Integer for large sprocket. Output is exact</t>
  </si>
  <si>
    <t>Step 6: Compute sprocket pitch diameters using equation 7-20:</t>
  </si>
  <si>
    <t>PD_1</t>
  </si>
  <si>
    <t>PD_2</t>
  </si>
  <si>
    <t>&lt;-- need to use the function RADIANS() to convert degrees to radians because excel uses radians for trig functions</t>
  </si>
  <si>
    <t>PD_1 (in)</t>
  </si>
  <si>
    <t>PD_2 (in)</t>
  </si>
  <si>
    <t>Step 7: Specify nominal centre distance in pitches</t>
  </si>
  <si>
    <t>Utilising the design guidelines for chain drives (Mott, shown to right):</t>
  </si>
  <si>
    <t>Centre distance pitch multiplcation factor</t>
  </si>
  <si>
    <t>CD (in)</t>
  </si>
  <si>
    <t>Reviewing design guidelines</t>
  </si>
  <si>
    <t>1. Check</t>
  </si>
  <si>
    <t>2. Check</t>
  </si>
  <si>
    <t>3. Check</t>
  </si>
  <si>
    <t>4. Check</t>
  </si>
  <si>
    <t>Step 8: Compute the required chain length in pitches using equation 7-18</t>
  </si>
  <si>
    <t>---&gt;</t>
  </si>
  <si>
    <t>=</t>
  </si>
  <si>
    <t>=L_C</t>
  </si>
  <si>
    <t>Step 9: Specify an integer no. pitches for chain length, and then, calcualte actual centre distance using equ 7-19</t>
  </si>
  <si>
    <t>Specify chain length (nearest even number):</t>
  </si>
  <si>
    <t>chain length</t>
  </si>
  <si>
    <t>Actual centre distance:</t>
  </si>
  <si>
    <t>Actual CD (pitches)</t>
  </si>
  <si>
    <t>1 pitch = 1 in (in this case)</t>
  </si>
  <si>
    <t>Actual CD (in)</t>
  </si>
  <si>
    <t>Step 10: Calculate anglue of wrap for each sprocket using eq. 7-21 and 7-22 and check &lt;120 degrees.</t>
  </si>
  <si>
    <t>Theta_2 (radians)</t>
  </si>
  <si>
    <t>Theta_1 (radians)</t>
  </si>
  <si>
    <t>Both greater than 120 degrees.</t>
  </si>
  <si>
    <t>Checking with solidworks:</t>
  </si>
  <si>
    <t>Driving Sprocket:</t>
  </si>
  <si>
    <t>Lubcrication Type:</t>
  </si>
  <si>
    <t>Chain(s):</t>
  </si>
  <si>
    <t>Length:</t>
  </si>
  <si>
    <t>Driven Sprocket:</t>
  </si>
  <si>
    <t>Actual Output speed:</t>
  </si>
  <si>
    <t>Centre Distance:</t>
  </si>
  <si>
    <t>no.80, pitch = 1in, single chain</t>
  </si>
  <si>
    <t>No. teeth = 28, Pitch diameter = 8.93in</t>
  </si>
  <si>
    <t>No. teeth = 56, pitch diameter = 17.83in</t>
  </si>
  <si>
    <t>Type C (Oil stream)</t>
  </si>
  <si>
    <t>But lubrication should be Type A or B, and the design can be made more compact:</t>
  </si>
  <si>
    <t>Belt/Chain drive velocity ratio (VR)</t>
  </si>
  <si>
    <t>1.8 ± 5%</t>
  </si>
  <si>
    <t>Revisions must be made to accomidate correct VR and allow fewer belts.</t>
  </si>
  <si>
    <t>Step 3: Calculate the nominal speed ratio (given), i.e. calculate output speed</t>
  </si>
  <si>
    <t>VR</t>
  </si>
  <si>
    <t>VR (1.8 ± 5%)</t>
  </si>
  <si>
    <t>Output speed (RPM)</t>
  </si>
  <si>
    <t>Input shaft speed (from v-belt/chain drive) i.e output speed from belt/chain drive</t>
  </si>
  <si>
    <t>Must be either 1.8+- 1475 or 1.8+-980</t>
  </si>
  <si>
    <t>Step 4: Compute driving sheave nominal size (for nominal belt speed of 4000ft/min)</t>
  </si>
  <si>
    <t>Nominal belt speed (ft/min)</t>
  </si>
  <si>
    <t>Using equ. 7-2:</t>
  </si>
  <si>
    <t>omega_driving (rad/s)</t>
  </si>
  <si>
    <t>d_driving (in) (nominal)</t>
  </si>
  <si>
    <t>Difference from 819.44rpm</t>
  </si>
  <si>
    <t>approx. driven sheave size (1.8*D_1)</t>
  </si>
  <si>
    <t>Therefore, this belt speed does meet requirements to be used in a belt drive</t>
  </si>
  <si>
    <t>21.1 &lt; CD &lt; 98.4</t>
  </si>
  <si>
    <t>Very close to 132, therefore we will choose 132</t>
  </si>
  <si>
    <t>Step 11: Calculate angle of wrap on small sheave</t>
  </si>
  <si>
    <t>convert 180 degrees to radians (excel requires radians for sin)</t>
  </si>
  <si>
    <t>Convert back to degrees:</t>
  </si>
  <si>
    <t>Theta_1 (angle of wrap of small sheave) (Degrees)</t>
  </si>
  <si>
    <t>2sin…</t>
  </si>
  <si>
    <t>Step 12: Determine angle of wrap and belt length correction factors</t>
  </si>
  <si>
    <t>For Theta = 166.5 degrees</t>
  </si>
  <si>
    <t xml:space="preserve">Corrected power rating per belt: </t>
  </si>
  <si>
    <t>Step 2: Calculate the nominal speed ratio/ calc  output speed</t>
  </si>
  <si>
    <t>Nominal no. strands: 4</t>
  </si>
  <si>
    <t>strands no.</t>
  </si>
  <si>
    <t>Power capacity factor</t>
  </si>
  <si>
    <t>power per stand = design power/power capacity factor</t>
  </si>
  <si>
    <t>We see that 4 stands falls well within Type B.</t>
  </si>
  <si>
    <t>Type A will not be possible as rpm will be 980 unless a reduction gear is used .</t>
  </si>
  <si>
    <t>This is outside scope.</t>
  </si>
  <si>
    <t>Try 2 strands:</t>
  </si>
  <si>
    <t>Nominal no. strands: 2</t>
  </si>
  <si>
    <t>---&gt; falls within Type B so this will be used.</t>
  </si>
  <si>
    <t>From table 7-16 :</t>
  </si>
  <si>
    <t>Type B</t>
  </si>
  <si>
    <t>Lubrication type required (Bath or Disc)</t>
  </si>
  <si>
    <t>N_2 must be an integer, therefore round up</t>
  </si>
  <si>
    <t>Actual VR</t>
  </si>
  <si>
    <t>Actual Output Speed (rpm)</t>
  </si>
  <si>
    <t>Calculate pitch:</t>
  </si>
  <si>
    <t>Calculate V_chain:</t>
  </si>
  <si>
    <t>V_Chain</t>
  </si>
  <si>
    <t>Therefore V_Chain &lt;&lt; 1500 ft/min</t>
  </si>
  <si>
    <t>Step 6: Specify nominal centre distance in pitches</t>
  </si>
  <si>
    <t>---&gt; 40 * pitch (1in)</t>
  </si>
  <si>
    <t>Lets try 30in (most compact)</t>
  </si>
  <si>
    <t>---&gt; within 1.8+- 5% (this figure is 1.89 max, and 1.84 falls within this)</t>
  </si>
  <si>
    <t>CHAIN DRIVE</t>
  </si>
  <si>
    <t>Has 95% efficiency, therefore</t>
  </si>
  <si>
    <t>37kW</t>
  </si>
  <si>
    <t>Known parameters:</t>
  </si>
  <si>
    <t>RPM (at input shaft)</t>
  </si>
  <si>
    <t>Driven machine RPM (i.e. output shaft RPM) ±5%</t>
  </si>
  <si>
    <t>Nm (Driven machine torque requirements</t>
  </si>
  <si>
    <t>Power P (at input shaft) (kW)</t>
  </si>
  <si>
    <t>Efficency for the gearbox</t>
  </si>
  <si>
    <t>The system will operate 5 hours a day, 5 days a week and should have a working life of 10 years.</t>
  </si>
  <si>
    <t>The machine and its components operate at close to normal room temperature.</t>
  </si>
  <si>
    <t>Reliability for working life</t>
  </si>
  <si>
    <t>10 years</t>
  </si>
  <si>
    <t>Working life of system</t>
  </si>
  <si>
    <t>5 hours a day, 5 days a week</t>
  </si>
  <si>
    <t>Operating schedule</t>
  </si>
  <si>
    <t>You do not need to meet the speed and power rating requirement in the catalogue, but should comment on the gears’ suitability</t>
  </si>
  <si>
    <t>Notes from Terry:</t>
  </si>
  <si>
    <t>Diametral pitch of either 4 or 5</t>
  </si>
  <si>
    <t>face width between 8/pd - 16/pd (choose middle - 12/pd)</t>
  </si>
  <si>
    <t>Use 20 Degree pitch angle</t>
  </si>
  <si>
    <t>Assume you can use any material and are not limited by power ratings</t>
  </si>
  <si>
    <t>Assume that you can bore out the hub of the gear to meet shaft requirements (as some may not line up)</t>
  </si>
  <si>
    <t>Choose teeth number from 20 degree table</t>
  </si>
  <si>
    <t>Iteration occurs during gear selection (at least 2)</t>
  </si>
  <si>
    <t>we would want to design the specification of the gears before doing stress calculations on the pinion gear as we need to know what the pinion gear will look like</t>
  </si>
  <si>
    <t>Step 1: Overall velocity ratio of the gearbox</t>
  </si>
  <si>
    <t>input rpm</t>
  </si>
  <si>
    <t>output rpm</t>
  </si>
  <si>
    <t>VR_Gearbox</t>
  </si>
  <si>
    <t>This part regards the first 3 weeks of content</t>
  </si>
  <si>
    <t>Maybe two gears of the four should be the same for the sake of simplicity if possible</t>
  </si>
  <si>
    <t>Trial VR for both trains</t>
  </si>
  <si>
    <t>Face width (in) Trial</t>
  </si>
  <si>
    <t>Pitch diameter PD</t>
  </si>
  <si>
    <t>TC12144</t>
  </si>
  <si>
    <t>Catelogue no.</t>
  </si>
  <si>
    <t>No. Teeth</t>
  </si>
  <si>
    <t>Pressure angle (degrees)</t>
  </si>
  <si>
    <t>REMEMBER: use a DP of 4 or 5</t>
  </si>
  <si>
    <t>4 DP:</t>
  </si>
  <si>
    <t>Required Pitch diameter PD</t>
  </si>
  <si>
    <t>no good, does not meet minimum no teeth for pinion</t>
  </si>
  <si>
    <t>5 DP:</t>
  </si>
  <si>
    <t>Perfect</t>
  </si>
  <si>
    <t>TS524</t>
  </si>
  <si>
    <t>Pitch Diameter</t>
  </si>
  <si>
    <t>n_2</t>
  </si>
  <si>
    <t>Step 3: start with equal ratios for both trains</t>
  </si>
  <si>
    <t>Step 2: Choose an input gear from martin gear catelogue</t>
  </si>
  <si>
    <t>N_3</t>
  </si>
  <si>
    <t>Round up,</t>
  </si>
  <si>
    <t>N_3 Nominal</t>
  </si>
  <si>
    <t>--&gt; closest that exists is 60</t>
  </si>
  <si>
    <t>---&gt; = N_4</t>
  </si>
  <si>
    <t>----&gt; = N_5</t>
  </si>
  <si>
    <t>Test if is within 80+- 5% rpm)</t>
  </si>
  <si>
    <t>Does not fall within 80+- 5% rpm</t>
  </si>
  <si>
    <t>N_5</t>
  </si>
  <si>
    <t>n_5 (+- 5%)</t>
  </si>
  <si>
    <t>Step 4: Iterate</t>
  </si>
  <si>
    <t>VR_both</t>
  </si>
  <si>
    <t>VR_3-2</t>
  </si>
  <si>
    <t>N_4</t>
  </si>
  <si>
    <t>Given VR_3-2 = 2.5, what VR_5-4 allows for nearest 80rpm?</t>
  </si>
  <si>
    <t>=2.66</t>
  </si>
  <si>
    <t>N_4 and N_5 can be one of three options:</t>
  </si>
  <si>
    <t>which give the ratio:</t>
  </si>
  <si>
    <t>Which in turn when used to calculate n_5 give:</t>
  </si>
  <si>
    <t>Which is</t>
  </si>
  <si>
    <t>Different, making it well within tolerances.</t>
  </si>
  <si>
    <t>Step 5: Calculate the stress in the pinion</t>
  </si>
  <si>
    <t>TR = 1/VR</t>
  </si>
  <si>
    <t>Calculate required power from driving motor (considering efficiencies)</t>
  </si>
  <si>
    <t>m</t>
  </si>
  <si>
    <t>F (inches)</t>
  </si>
  <si>
    <t>?</t>
  </si>
  <si>
    <t>Step 5a: Calculate module</t>
  </si>
  <si>
    <t>(equ 9-6 mott)</t>
  </si>
  <si>
    <t>N (N_2)</t>
  </si>
  <si>
    <t>DP (pitch diameter for pinon N_2)</t>
  </si>
  <si>
    <t>m= DP/N</t>
  </si>
  <si>
    <t>V= (omega)*r</t>
  </si>
  <si>
    <t>Step 5b: Calculate pitch-line velocity (V), to calculate K_v</t>
  </si>
  <si>
    <t>r (inches)</t>
  </si>
  <si>
    <t>(omega) (rad/s)</t>
  </si>
  <si>
    <t>r (m)</t>
  </si>
  <si>
    <t>V (m/s)</t>
  </si>
  <si>
    <t>Step 5c: Calculate K_v</t>
  </si>
  <si>
    <t>K_v</t>
  </si>
  <si>
    <t>Step 5d: Calculate W^t</t>
  </si>
  <si>
    <t>H (P @ input shaft, kW)</t>
  </si>
  <si>
    <t>W^t</t>
  </si>
  <si>
    <t>Y (from table)</t>
  </si>
  <si>
    <t>Step 5e: Calculate Y (from table 14-2, right)</t>
  </si>
  <si>
    <t>Step 5f: Calculate bending stress at the teeth (sigma):</t>
  </si>
  <si>
    <t>bending stress, sigma, (MPa)</t>
  </si>
  <si>
    <t>Step 6: Working Life reliability</t>
  </si>
  <si>
    <t>K_r (table 9-11)</t>
  </si>
  <si>
    <t>--&gt; Choosing chain as it is smaller</t>
  </si>
  <si>
    <t>Martin gear catelogue specifies 'Steel' as material</t>
  </si>
  <si>
    <t>Assuming SAE 8620 steel (used in example 9-5)</t>
  </si>
  <si>
    <t>S_t</t>
  </si>
  <si>
    <t>Y_n</t>
  </si>
  <si>
    <t>K_r</t>
  </si>
  <si>
    <t>S_at (table 9-9)</t>
  </si>
  <si>
    <t>S_t  (step 5)</t>
  </si>
  <si>
    <t>To find Y_n:</t>
  </si>
  <si>
    <t>must determine no. of cycles, N</t>
  </si>
  <si>
    <t>Using equation 9-27:</t>
  </si>
  <si>
    <t>q (number of load applications per revolution, assume 1</t>
  </si>
  <si>
    <t>From design parameters:</t>
  </si>
  <si>
    <t>working hours a day</t>
  </si>
  <si>
    <t>working days a week</t>
  </si>
  <si>
    <t>years design life</t>
  </si>
  <si>
    <t>L = 5*5*52*10</t>
  </si>
  <si>
    <t>L (design life hours)</t>
  </si>
  <si>
    <t>N_c</t>
  </si>
  <si>
    <t>=4.15 * 10^8</t>
  </si>
  <si>
    <t>Y_n (from figure 9-21)</t>
  </si>
  <si>
    <t>Calculate SF:</t>
  </si>
  <si>
    <t>SF</t>
  </si>
  <si>
    <t>Therefore, the gears will very reliable at 99% reliability and have a SF of 5.7.</t>
  </si>
  <si>
    <t>= rad/s</t>
  </si>
  <si>
    <t>P=T *n</t>
  </si>
  <si>
    <t>= T* (0.98*0.95)*n</t>
  </si>
  <si>
    <t>Infinite life</t>
  </si>
  <si>
    <t>Design factor</t>
  </si>
  <si>
    <t>Reliability</t>
  </si>
  <si>
    <t>Shaft Design Procedure:</t>
  </si>
  <si>
    <t>1. Determine the rotational speed of the shaft.</t>
  </si>
  <si>
    <t>RPM</t>
  </si>
  <si>
    <t>2. Determine the power or the torque to be transmitted by the shaft</t>
  </si>
  <si>
    <t>= 37 [kW] * 0.95 [chain/belt efficiency]</t>
  </si>
  <si>
    <t>3. Determine the design of the power-transmitting components or other device mounted in the shaft and specify the required location of each device.</t>
  </si>
  <si>
    <t>a. Input shaft overall length</t>
  </si>
  <si>
    <t>=0.15+0.22+0.22+0.22</t>
  </si>
  <si>
    <t>from S. ID design parameters:</t>
  </si>
  <si>
    <t>X</t>
  </si>
  <si>
    <t>Y</t>
  </si>
  <si>
    <t>b. Location of bearings</t>
  </si>
  <si>
    <t>Shown in fig</t>
  </si>
  <si>
    <t>c. Location of pinion (N2)</t>
  </si>
  <si>
    <t>4. Specify Location of bearings to support shaft.</t>
  </si>
  <si>
    <t>5. Propose the general form of the geometry for the shaft</t>
  </si>
  <si>
    <t>Step 1: Estimate the properties of the steel for the shaft</t>
  </si>
  <si>
    <t xml:space="preserve">--&gt; </t>
  </si>
  <si>
    <t>Chosen Steel type: SAE 1144OQT 1000 Steel</t>
  </si>
  <si>
    <t>S_y (Mpa)</t>
  </si>
  <si>
    <t>S_u (Mpa)</t>
  </si>
  <si>
    <t>Properties for this steel: (Fig. A4-2)</t>
  </si>
  <si>
    <t>S_n (Mpa)</t>
  </si>
  <si>
    <t>Fig. 5-11:</t>
  </si>
  <si>
    <t>S'_n:</t>
  </si>
  <si>
    <t>C_m</t>
  </si>
  <si>
    <t>C_st</t>
  </si>
  <si>
    <t>C_R</t>
  </si>
  <si>
    <t>C_s</t>
  </si>
  <si>
    <t>S'_n (Mpa)</t>
  </si>
  <si>
    <t>Torque in the shaft, T = P/ omega:</t>
  </si>
  <si>
    <t>omega</t>
  </si>
  <si>
    <t>T (Nm)</t>
  </si>
  <si>
    <t>P (kW)</t>
  </si>
  <si>
    <t>--&gt; convert to W</t>
  </si>
  <si>
    <t>Step 2: Determine Forces on Gear &amp; sprocket (chain drive chosen)</t>
  </si>
  <si>
    <t>Gear pressure angle: 20 Deg</t>
  </si>
  <si>
    <t>Double check torque with 12-1:</t>
  </si>
  <si>
    <t>P in hp, therefore,</t>
  </si>
  <si>
    <t>p hp</t>
  </si>
  <si>
    <t>T (lb*in)</t>
  </si>
  <si>
    <t>(convert to Nm to check) ---&gt;</t>
  </si>
  <si>
    <t>correct</t>
  </si>
  <si>
    <t>T (ib*in)</t>
  </si>
  <si>
    <t>D (in) (PD2, from part c)</t>
  </si>
  <si>
    <t>F_c</t>
  </si>
  <si>
    <t xml:space="preserve">in terms of x, y components </t>
  </si>
  <si>
    <t>N_2: Gear TS524</t>
  </si>
  <si>
    <t>PD, in</t>
  </si>
  <si>
    <t>Theta (radians)</t>
  </si>
  <si>
    <t>Theta (degrees)</t>
  </si>
  <si>
    <t>(convert 20 deg to radians) --&gt;</t>
  </si>
  <si>
    <t>phi (rad)</t>
  </si>
  <si>
    <t>W_r (lbf)</t>
  </si>
  <si>
    <t>W_t (lbf)</t>
  </si>
  <si>
    <t>F_cx (lbf)</t>
  </si>
  <si>
    <t>F_cy (lbf)</t>
  </si>
  <si>
    <t>Therefore, input shaft spins counter-clockwise as it is driven by the motor through a chain drive</t>
  </si>
  <si>
    <t>Let motor spin counter-clockwise (per Fig. 12-5)</t>
  </si>
  <si>
    <t>&lt;---</t>
  </si>
  <si>
    <t>v</t>
  </si>
  <si>
    <t>N</t>
  </si>
  <si>
    <t>Calculate input shaft loading:</t>
  </si>
  <si>
    <t>Step 4: Use te design equation to determine the minimum required diameter for various points</t>
  </si>
  <si>
    <t>Four points along the shaft:</t>
  </si>
  <si>
    <t>Point at which Chain force is applied</t>
  </si>
  <si>
    <t>B_1</t>
  </si>
  <si>
    <t>Bearing 1 reactions</t>
  </si>
  <si>
    <t>W</t>
  </si>
  <si>
    <t>Where gear loads are applied</t>
  </si>
  <si>
    <t>B_2</t>
  </si>
  <si>
    <t>Bearing 2 reactions</t>
  </si>
  <si>
    <t>Step 4a: Use the design equation at point F_c</t>
  </si>
  <si>
    <t>The large sprocket produces a torsion in the shaft from point F_c onwards (to the right)</t>
  </si>
  <si>
    <t>F_c is the end of the shaft</t>
  </si>
  <si>
    <t>Moment at F_c is 0 as it is the free end of the shaft</t>
  </si>
  <si>
    <t>N (design factor, given)</t>
  </si>
  <si>
    <t>=((32*A417)/PI())</t>
  </si>
  <si>
    <t>=SQRT(A422)</t>
  </si>
  <si>
    <t>=((A421*A423)^(1/3))</t>
  </si>
  <si>
    <t>--&gt; convert to Pa</t>
  </si>
  <si>
    <t>=(3/4)*((A418/E419)^2)</t>
  </si>
  <si>
    <t>---&gt; D_1 (m)</t>
  </si>
  <si>
    <t>---&gt; D_1 (mm)</t>
  </si>
  <si>
    <t>Step 4b: Use design equation at Point B_1</t>
  </si>
  <si>
    <t>"You may assume the same values for stress concentration factors for the keyways and filleted shoulders as were used in the tutorial example solution."</t>
  </si>
  <si>
    <t>"You do not need to specify the fillet radii."</t>
  </si>
  <si>
    <t>K_t</t>
  </si>
  <si>
    <t>K_t (same as tutorial example solution)</t>
  </si>
  <si>
    <t>M_(B_1) = sqrt(((M_(B_1x)^2)+((M_(B_1y)^2))</t>
  </si>
  <si>
    <t>M_(B_1y) (Nm), from tangential bending moment diagram</t>
  </si>
  <si>
    <t>M_(B_1x) (Nm), from radial bending moment diagram</t>
  </si>
  <si>
    <t>M_(B_1), (Nm)</t>
  </si>
  <si>
    <t>(m)</t>
  </si>
  <si>
    <t>I've made a mistake somewwhere, calculator gives me:</t>
  </si>
  <si>
    <t>D_2 (mm)</t>
  </si>
  <si>
    <t>Step 4c: Use design equation to the right Point B_1 (to provide shoulder)</t>
  </si>
  <si>
    <t>Use:</t>
  </si>
  <si>
    <t>Is the same as 4b but uses K_t = 2.5</t>
  </si>
  <si>
    <t>Therefore,</t>
  </si>
  <si>
    <t>D_3 (mm)</t>
  </si>
  <si>
    <t>M_(W) = sqrt(((M_(W_r)^2)+((M_(W_t)^2))</t>
  </si>
  <si>
    <t>M_(W_r) (Nm), from radial bending moment diagram</t>
  </si>
  <si>
    <t>M_(W_t) (Nm), from tangential bending moment diagram</t>
  </si>
  <si>
    <t>M_(W), (Nm)</t>
  </si>
  <si>
    <t>D_4 (mm)</t>
  </si>
  <si>
    <t>D_5 (mm)</t>
  </si>
  <si>
    <t>Step 4d: Diameter D_4 can be anything so long as it is greater than D_5 and D_3. --&gt; 75mm</t>
  </si>
  <si>
    <t>Step 4e:</t>
  </si>
  <si>
    <t>Step 4f: B_2 minimum diameter</t>
  </si>
  <si>
    <t>V_(B_2) = sqrt(((V_(B_2x)^2)+((V_(B_2y)^2))</t>
  </si>
  <si>
    <t>V_(B_2x) (N), from radial bending moment diagram</t>
  </si>
  <si>
    <t>V_(B_2y) (N), from tangential bending moment diagram</t>
  </si>
  <si>
    <t>V_(B_2), (N)</t>
  </si>
  <si>
    <t>D_6 (mm) ---&gt;</t>
  </si>
  <si>
    <t>R_B_1 (mm)</t>
  </si>
  <si>
    <t>R_B_2 (mm)</t>
  </si>
  <si>
    <t>From the shaft design, B_1 and B_2 should have a minimum radius of:</t>
  </si>
  <si>
    <t>C_r (reliability factor)</t>
  </si>
  <si>
    <t>Step 1: Load on bearings</t>
  </si>
  <si>
    <t>B_1x</t>
  </si>
  <si>
    <t>B_1y</t>
  </si>
  <si>
    <t>B_2x</t>
  </si>
  <si>
    <t>B_2y</t>
  </si>
  <si>
    <t>x = radial</t>
  </si>
  <si>
    <t>y = tangent</t>
  </si>
  <si>
    <t>B_1 (N)</t>
  </si>
  <si>
    <t>B_2 (N)</t>
  </si>
  <si>
    <t>These ^ are the maximum load on the bearing at a given point</t>
  </si>
  <si>
    <t>D_1 (mm)</t>
  </si>
  <si>
    <t>i.e. ideally need a bearing with a larger diameter and increase shaft diameter around bearing to increase safety factor.</t>
  </si>
  <si>
    <t>V</t>
  </si>
  <si>
    <t>Step 1: Rotation factor V. V=1 for the case of inner race rotation</t>
  </si>
  <si>
    <t>P = VR</t>
  </si>
  <si>
    <t>P_1</t>
  </si>
  <si>
    <t>P_2</t>
  </si>
  <si>
    <t>Step 2: Minimum acceptable diameter</t>
  </si>
  <si>
    <t>Step 3: Rec. design life:</t>
  </si>
  <si>
    <t>L_d</t>
  </si>
  <si>
    <t xml:space="preserve">L_d = L * n_2 * 60min/h </t>
  </si>
  <si>
    <t>C_1 (N)</t>
  </si>
  <si>
    <t>C_2 (N)</t>
  </si>
  <si>
    <t>C_1 (kN)</t>
  </si>
  <si>
    <t>C_2 (kN)</t>
  </si>
  <si>
    <t>Smallest-bore bearing considering C:</t>
  </si>
  <si>
    <t>for B_1</t>
  </si>
  <si>
    <t>for B_2</t>
  </si>
  <si>
    <t>However it is best to use the same bearing for both for the sake of purchasing and maintenance. In which case, this is:</t>
  </si>
  <si>
    <t>Bearing number</t>
  </si>
  <si>
    <t>Bore (mm)</t>
  </si>
  <si>
    <t>Dynamic C, (kN)</t>
  </si>
  <si>
    <t>O.D. (mm)</t>
  </si>
  <si>
    <t>width (mm)</t>
  </si>
  <si>
    <t>Currently, the diameter of the shaft at B_2 is 30.32mm.</t>
  </si>
  <si>
    <t>The shaft can be scaled by the following factor:</t>
  </si>
  <si>
    <t>For D_4, as this only needs to be greater than D_3 and D_5. Therefore diameter can be adjusted to meet this but not significantly increase weight.</t>
  </si>
  <si>
    <t>New shaft diameters</t>
  </si>
  <si>
    <t>D_3</t>
  </si>
  <si>
    <t>D_4</t>
  </si>
  <si>
    <t>D_5</t>
  </si>
  <si>
    <t>D_6</t>
  </si>
  <si>
    <t>OLD shaft diameters</t>
  </si>
  <si>
    <t>All measurements are in mm:</t>
  </si>
  <si>
    <t>Only needs to be slightly greater than 50mm and 106.76mm to allow for shoulder.</t>
  </si>
  <si>
    <t xml:space="preserve">Therefore, </t>
  </si>
  <si>
    <t>This is not ideal. The shaft is too big. Only change the bearing diameters. It is fine.</t>
  </si>
  <si>
    <t>Bearing width = 27mm</t>
  </si>
  <si>
    <t>Large sprocket width 1.2x chain size = 1.2 *31.75mm = 38.1mm</t>
  </si>
  <si>
    <t>5V belt width = 5/8 inch</t>
  </si>
  <si>
    <t>5V belt witdth in mm</t>
  </si>
  <si>
    <t>5V belt width * 1.2</t>
  </si>
  <si>
    <t>For 3 belts (mm)</t>
  </si>
  <si>
    <t xml:space="preserve">---&gt; </t>
  </si>
  <si>
    <t>Large sprocket with 4 chains of width 31.75 and 1.2x scaling = 152.4mm</t>
  </si>
  <si>
    <t>Final Gear Dimensions</t>
  </si>
  <si>
    <t>Bore</t>
  </si>
  <si>
    <t>Pd</t>
  </si>
  <si>
    <t>OD</t>
  </si>
  <si>
    <t>match shaft</t>
  </si>
  <si>
    <t>1 1/4 to 2 13/6</t>
  </si>
  <si>
    <t>1 1/8 to 1 7/16</t>
  </si>
  <si>
    <t>1 1/4 to 2 3/8</t>
  </si>
  <si>
    <t>Face width 2 1/2 in</t>
  </si>
  <si>
    <t>N_3, N_4 share the same shaft</t>
  </si>
  <si>
    <t>Middle value for bore is 1.275in</t>
  </si>
  <si>
    <t>---&gt; select smallest for cost and weight</t>
  </si>
  <si>
    <t>Step 13: Calculate the corrected power rating per belt &amp; no. belts required</t>
  </si>
  <si>
    <t>The diameter of the shaft must be scaled to accomodate this.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</si>
</sst>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"/>
    <numFmt numFmtId="167" formatCode="0.000%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i/>
      <sz val="11"/>
      <color rgb="FF00B0F0"/>
      <name val="Aptos"/>
      <family val="2"/>
    </font>
    <font>
      <i/>
      <u/>
      <sz val="11"/>
      <color rgb="FF00B0F0"/>
      <name val="Aptos"/>
      <family val="2"/>
    </font>
    <font>
      <sz val="11"/>
      <name val="Aptos"/>
      <family val="2"/>
    </font>
    <font>
      <sz val="11"/>
      <color theme="1"/>
      <name val="Aptos Narrow"/>
      <family val="2"/>
      <scheme val="minor"/>
    </font>
    <font>
      <sz val="7"/>
      <color theme="1"/>
      <name val="Times New Roman"/>
      <family val="1"/>
    </font>
    <font>
      <sz val="11"/>
      <color rgb="FFC0000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color rgb="FF00B0F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theme="3" tint="0.499984740745262"/>
      </left>
      <right/>
      <top style="thick">
        <color theme="3" tint="0.499984740745262"/>
      </top>
      <bottom style="thick">
        <color theme="3" tint="0.499984740745262"/>
      </bottom>
      <diagonal/>
    </border>
    <border>
      <left/>
      <right/>
      <top style="thick">
        <color theme="3" tint="0.499984740745262"/>
      </top>
      <bottom style="thick">
        <color theme="3" tint="0.499984740745262"/>
      </bottom>
      <diagonal/>
    </border>
    <border>
      <left/>
      <right style="thick">
        <color theme="3" tint="0.499984740745262"/>
      </right>
      <top style="thick">
        <color theme="3" tint="0.499984740745262"/>
      </top>
      <bottom style="thick">
        <color theme="3" tint="0.499984740745262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0" borderId="0" xfId="0" quotePrefix="1"/>
    <xf numFmtId="0" fontId="1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164" fontId="0" fillId="0" borderId="0" xfId="0" applyNumberFormat="1"/>
    <xf numFmtId="0" fontId="0" fillId="0" borderId="1" xfId="0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65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6" fontId="0" fillId="0" borderId="0" xfId="0" applyNumberFormat="1"/>
    <xf numFmtId="0" fontId="0" fillId="0" borderId="0" xfId="0" applyAlignment="1">
      <alignment wrapText="1"/>
    </xf>
    <xf numFmtId="10" fontId="0" fillId="0" borderId="0" xfId="1" applyNumberFormat="1" applyFont="1"/>
    <xf numFmtId="10" fontId="0" fillId="2" borderId="0" xfId="1" applyNumberFormat="1" applyFont="1" applyFill="1"/>
    <xf numFmtId="0" fontId="0" fillId="2" borderId="0" xfId="0" applyFill="1"/>
    <xf numFmtId="0" fontId="0" fillId="0" borderId="1" xfId="0" quotePrefix="1" applyBorder="1"/>
    <xf numFmtId="0" fontId="0" fillId="2" borderId="1" xfId="0" applyFill="1" applyBorder="1"/>
    <xf numFmtId="0" fontId="8" fillId="0" borderId="1" xfId="0" applyFont="1" applyBorder="1"/>
    <xf numFmtId="2" fontId="0" fillId="0" borderId="0" xfId="0" applyNumberFormat="1"/>
    <xf numFmtId="1" fontId="0" fillId="0" borderId="1" xfId="0" applyNumberFormat="1" applyBorder="1"/>
    <xf numFmtId="0" fontId="1" fillId="0" borderId="1" xfId="0" applyFont="1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1" xfId="0" quotePrefix="1" applyBorder="1" applyAlignment="1">
      <alignment wrapText="1"/>
    </xf>
    <xf numFmtId="16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0" fontId="0" fillId="2" borderId="0" xfId="0" quotePrefix="1" applyFill="1"/>
    <xf numFmtId="0" fontId="10" fillId="0" borderId="0" xfId="0" applyFont="1"/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1" fillId="0" borderId="0" xfId="0" applyFont="1"/>
    <xf numFmtId="167" fontId="0" fillId="0" borderId="0" xfId="1" applyNumberFormat="1" applyFont="1"/>
    <xf numFmtId="167" fontId="0" fillId="2" borderId="0" xfId="1" applyNumberFormat="1" applyFont="1" applyFill="1"/>
    <xf numFmtId="2" fontId="0" fillId="2" borderId="1" xfId="0" applyNumberFormat="1" applyFill="1" applyBorder="1"/>
    <xf numFmtId="9" fontId="0" fillId="0" borderId="0" xfId="1" applyFont="1"/>
    <xf numFmtId="0" fontId="12" fillId="0" borderId="1" xfId="0" applyFont="1" applyBorder="1"/>
    <xf numFmtId="0" fontId="13" fillId="0" borderId="1" xfId="0" applyFont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4" fillId="0" borderId="0" xfId="0" applyFont="1"/>
    <xf numFmtId="165" fontId="0" fillId="0" borderId="0" xfId="0" applyNumberFormat="1"/>
    <xf numFmtId="1" fontId="0" fillId="0" borderId="0" xfId="0" applyNumberFormat="1"/>
    <xf numFmtId="0" fontId="1" fillId="0" borderId="1" xfId="0" applyFont="1" applyBorder="1"/>
    <xf numFmtId="0" fontId="13" fillId="0" borderId="0" xfId="0" applyFont="1"/>
    <xf numFmtId="9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11" fontId="0" fillId="0" borderId="0" xfId="0" applyNumberFormat="1"/>
    <xf numFmtId="0" fontId="0" fillId="0" borderId="15" xfId="0" applyBorder="1"/>
    <xf numFmtId="0" fontId="0" fillId="0" borderId="16" xfId="0" applyBorder="1"/>
    <xf numFmtId="0" fontId="1" fillId="0" borderId="10" xfId="0" applyFont="1" applyBorder="1"/>
    <xf numFmtId="0" fontId="1" fillId="0" borderId="13" xfId="0" applyFont="1" applyBorder="1"/>
    <xf numFmtId="0" fontId="1" fillId="0" borderId="14" xfId="0" applyFont="1" applyBorder="1"/>
    <xf numFmtId="0" fontId="0" fillId="0" borderId="17" xfId="0" applyBorder="1"/>
    <xf numFmtId="0" fontId="0" fillId="0" borderId="18" xfId="0" applyBorder="1"/>
    <xf numFmtId="2" fontId="0" fillId="0" borderId="17" xfId="0" applyNumberForma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8" xfId="0" applyBorder="1"/>
    <xf numFmtId="0" fontId="0" fillId="0" borderId="33" xfId="0" applyBorder="1"/>
    <xf numFmtId="0" fontId="0" fillId="0" borderId="34" xfId="0" applyBorder="1"/>
    <xf numFmtId="0" fontId="0" fillId="0" borderId="9" xfId="0" applyBorder="1"/>
    <xf numFmtId="0" fontId="0" fillId="0" borderId="36" xfId="0" applyBorder="1"/>
    <xf numFmtId="0" fontId="0" fillId="0" borderId="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35" xfId="0" applyBorder="1"/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D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1.png"/><Relationship Id="rId18" Type="http://schemas.openxmlformats.org/officeDocument/2006/relationships/image" Target="../media/image36.png"/><Relationship Id="rId3" Type="http://schemas.openxmlformats.org/officeDocument/2006/relationships/image" Target="../media/image21.png"/><Relationship Id="rId21" Type="http://schemas.openxmlformats.org/officeDocument/2006/relationships/image" Target="../media/image39.png"/><Relationship Id="rId7" Type="http://schemas.openxmlformats.org/officeDocument/2006/relationships/image" Target="../media/image25.png"/><Relationship Id="rId12" Type="http://schemas.openxmlformats.org/officeDocument/2006/relationships/image" Target="../media/image30.png"/><Relationship Id="rId17" Type="http://schemas.openxmlformats.org/officeDocument/2006/relationships/image" Target="../media/image35.png"/><Relationship Id="rId25" Type="http://schemas.openxmlformats.org/officeDocument/2006/relationships/image" Target="../media/image43.png"/><Relationship Id="rId2" Type="http://schemas.openxmlformats.org/officeDocument/2006/relationships/image" Target="../media/image20.png"/><Relationship Id="rId16" Type="http://schemas.openxmlformats.org/officeDocument/2006/relationships/image" Target="../media/image34.png"/><Relationship Id="rId20" Type="http://schemas.openxmlformats.org/officeDocument/2006/relationships/image" Target="../media/image38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24" Type="http://schemas.openxmlformats.org/officeDocument/2006/relationships/image" Target="../media/image42.png"/><Relationship Id="rId5" Type="http://schemas.openxmlformats.org/officeDocument/2006/relationships/image" Target="../media/image23.png"/><Relationship Id="rId15" Type="http://schemas.openxmlformats.org/officeDocument/2006/relationships/image" Target="../media/image33.png"/><Relationship Id="rId23" Type="http://schemas.openxmlformats.org/officeDocument/2006/relationships/image" Target="../media/image41.png"/><Relationship Id="rId10" Type="http://schemas.openxmlformats.org/officeDocument/2006/relationships/image" Target="../media/image28.png"/><Relationship Id="rId19" Type="http://schemas.openxmlformats.org/officeDocument/2006/relationships/image" Target="../media/image37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Relationship Id="rId14" Type="http://schemas.openxmlformats.org/officeDocument/2006/relationships/image" Target="../media/image32.png"/><Relationship Id="rId22" Type="http://schemas.openxmlformats.org/officeDocument/2006/relationships/image" Target="../media/image4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1.png"/><Relationship Id="rId13" Type="http://schemas.openxmlformats.org/officeDocument/2006/relationships/image" Target="../media/image56.png"/><Relationship Id="rId3" Type="http://schemas.openxmlformats.org/officeDocument/2006/relationships/image" Target="../media/image46.png"/><Relationship Id="rId7" Type="http://schemas.openxmlformats.org/officeDocument/2006/relationships/image" Target="../media/image50.png"/><Relationship Id="rId12" Type="http://schemas.openxmlformats.org/officeDocument/2006/relationships/image" Target="../media/image55.png"/><Relationship Id="rId2" Type="http://schemas.openxmlformats.org/officeDocument/2006/relationships/image" Target="../media/image45.png"/><Relationship Id="rId1" Type="http://schemas.openxmlformats.org/officeDocument/2006/relationships/image" Target="../media/image44.png"/><Relationship Id="rId6" Type="http://schemas.openxmlformats.org/officeDocument/2006/relationships/image" Target="../media/image49.png"/><Relationship Id="rId11" Type="http://schemas.openxmlformats.org/officeDocument/2006/relationships/image" Target="../media/image54.png"/><Relationship Id="rId5" Type="http://schemas.openxmlformats.org/officeDocument/2006/relationships/image" Target="../media/image48.png"/><Relationship Id="rId10" Type="http://schemas.openxmlformats.org/officeDocument/2006/relationships/image" Target="../media/image53.png"/><Relationship Id="rId4" Type="http://schemas.openxmlformats.org/officeDocument/2006/relationships/image" Target="../media/image47.png"/><Relationship Id="rId9" Type="http://schemas.openxmlformats.org/officeDocument/2006/relationships/image" Target="../media/image52.png"/><Relationship Id="rId14" Type="http://schemas.openxmlformats.org/officeDocument/2006/relationships/image" Target="../media/image5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4.png"/><Relationship Id="rId13" Type="http://schemas.openxmlformats.org/officeDocument/2006/relationships/image" Target="../media/image69.png"/><Relationship Id="rId18" Type="http://schemas.openxmlformats.org/officeDocument/2006/relationships/image" Target="../media/image74.jpeg"/><Relationship Id="rId26" Type="http://schemas.openxmlformats.org/officeDocument/2006/relationships/image" Target="../media/image82.png"/><Relationship Id="rId3" Type="http://schemas.openxmlformats.org/officeDocument/2006/relationships/image" Target="../media/image59.png"/><Relationship Id="rId21" Type="http://schemas.openxmlformats.org/officeDocument/2006/relationships/image" Target="../media/image77.png"/><Relationship Id="rId7" Type="http://schemas.openxmlformats.org/officeDocument/2006/relationships/image" Target="../media/image63.png"/><Relationship Id="rId12" Type="http://schemas.openxmlformats.org/officeDocument/2006/relationships/image" Target="../media/image68.png"/><Relationship Id="rId17" Type="http://schemas.openxmlformats.org/officeDocument/2006/relationships/image" Target="../media/image73.jpeg"/><Relationship Id="rId25" Type="http://schemas.openxmlformats.org/officeDocument/2006/relationships/image" Target="../media/image81.png"/><Relationship Id="rId2" Type="http://schemas.openxmlformats.org/officeDocument/2006/relationships/image" Target="../media/image45.png"/><Relationship Id="rId16" Type="http://schemas.openxmlformats.org/officeDocument/2006/relationships/image" Target="../media/image72.png"/><Relationship Id="rId20" Type="http://schemas.openxmlformats.org/officeDocument/2006/relationships/image" Target="../media/image76.jpeg"/><Relationship Id="rId29" Type="http://schemas.openxmlformats.org/officeDocument/2006/relationships/image" Target="../media/image85.png"/><Relationship Id="rId1" Type="http://schemas.openxmlformats.org/officeDocument/2006/relationships/image" Target="../media/image58.png"/><Relationship Id="rId6" Type="http://schemas.openxmlformats.org/officeDocument/2006/relationships/image" Target="../media/image62.png"/><Relationship Id="rId11" Type="http://schemas.openxmlformats.org/officeDocument/2006/relationships/image" Target="../media/image67.png"/><Relationship Id="rId24" Type="http://schemas.openxmlformats.org/officeDocument/2006/relationships/image" Target="../media/image80.png"/><Relationship Id="rId5" Type="http://schemas.openxmlformats.org/officeDocument/2006/relationships/image" Target="../media/image61.png"/><Relationship Id="rId15" Type="http://schemas.openxmlformats.org/officeDocument/2006/relationships/image" Target="../media/image71.png"/><Relationship Id="rId23" Type="http://schemas.openxmlformats.org/officeDocument/2006/relationships/image" Target="../media/image79.png"/><Relationship Id="rId28" Type="http://schemas.openxmlformats.org/officeDocument/2006/relationships/image" Target="../media/image84.png"/><Relationship Id="rId10" Type="http://schemas.openxmlformats.org/officeDocument/2006/relationships/image" Target="../media/image66.png"/><Relationship Id="rId19" Type="http://schemas.openxmlformats.org/officeDocument/2006/relationships/image" Target="../media/image75.jpeg"/><Relationship Id="rId4" Type="http://schemas.openxmlformats.org/officeDocument/2006/relationships/image" Target="../media/image60.png"/><Relationship Id="rId9" Type="http://schemas.openxmlformats.org/officeDocument/2006/relationships/image" Target="../media/image65.png"/><Relationship Id="rId14" Type="http://schemas.openxmlformats.org/officeDocument/2006/relationships/image" Target="../media/image70.png"/><Relationship Id="rId22" Type="http://schemas.openxmlformats.org/officeDocument/2006/relationships/image" Target="../media/image78.png"/><Relationship Id="rId27" Type="http://schemas.openxmlformats.org/officeDocument/2006/relationships/image" Target="../media/image8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3.png"/><Relationship Id="rId7" Type="http://schemas.openxmlformats.org/officeDocument/2006/relationships/image" Target="../media/image90.png"/><Relationship Id="rId2" Type="http://schemas.openxmlformats.org/officeDocument/2006/relationships/image" Target="../media/image85.png"/><Relationship Id="rId1" Type="http://schemas.openxmlformats.org/officeDocument/2006/relationships/image" Target="../media/image86.png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96.png"/><Relationship Id="rId3" Type="http://schemas.openxmlformats.org/officeDocument/2006/relationships/image" Target="../media/image91.png"/><Relationship Id="rId7" Type="http://schemas.openxmlformats.org/officeDocument/2006/relationships/image" Target="../media/image95.png"/><Relationship Id="rId2" Type="http://schemas.openxmlformats.org/officeDocument/2006/relationships/image" Target="../media/image89.png"/><Relationship Id="rId1" Type="http://schemas.openxmlformats.org/officeDocument/2006/relationships/image" Target="../media/image90.png"/><Relationship Id="rId6" Type="http://schemas.openxmlformats.org/officeDocument/2006/relationships/image" Target="../media/image94.png"/><Relationship Id="rId5" Type="http://schemas.openxmlformats.org/officeDocument/2006/relationships/image" Target="../media/image93.png"/><Relationship Id="rId4" Type="http://schemas.openxmlformats.org/officeDocument/2006/relationships/image" Target="../media/image92.png"/><Relationship Id="rId9" Type="http://schemas.openxmlformats.org/officeDocument/2006/relationships/image" Target="../media/image9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5</xdr:row>
      <xdr:rowOff>152400</xdr:rowOff>
    </xdr:from>
    <xdr:to>
      <xdr:col>17</xdr:col>
      <xdr:colOff>395593</xdr:colOff>
      <xdr:row>30</xdr:row>
      <xdr:rowOff>188105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CCF42E-7562-8E3F-8DD0-0FF45E749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7325" y="1123950"/>
          <a:ext cx="6840843" cy="4791855"/>
        </a:xfrm>
        <a:prstGeom prst="rect">
          <a:avLst/>
        </a:prstGeom>
      </xdr:spPr>
    </xdr:pic>
    <xdr:clientData/>
  </xdr:twoCellAnchor>
  <xdr:twoCellAnchor editAs="oneCell">
    <xdr:from>
      <xdr:col>8</xdr:col>
      <xdr:colOff>457200</xdr:colOff>
      <xdr:row>33</xdr:row>
      <xdr:rowOff>38100</xdr:rowOff>
    </xdr:from>
    <xdr:to>
      <xdr:col>18</xdr:col>
      <xdr:colOff>17900</xdr:colOff>
      <xdr:row>58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EACB19-7199-FE1D-FA95-B48F6F099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6324600"/>
          <a:ext cx="7028300" cy="5562600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342900</xdr:colOff>
      <xdr:row>63</xdr:row>
      <xdr:rowOff>95250</xdr:rowOff>
    </xdr:from>
    <xdr:to>
      <xdr:col>19</xdr:col>
      <xdr:colOff>93460</xdr:colOff>
      <xdr:row>100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7619B22-79C0-D7A4-F1D7-17D712A76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14900" y="12096750"/>
          <a:ext cx="7456285" cy="8001000"/>
        </a:xfrm>
        <a:prstGeom prst="rect">
          <a:avLst/>
        </a:prstGeom>
      </xdr:spPr>
    </xdr:pic>
    <xdr:clientData/>
  </xdr:twoCellAnchor>
  <xdr:twoCellAnchor editAs="oneCell">
    <xdr:from>
      <xdr:col>8</xdr:col>
      <xdr:colOff>457200</xdr:colOff>
      <xdr:row>107</xdr:row>
      <xdr:rowOff>38100</xdr:rowOff>
    </xdr:from>
    <xdr:to>
      <xdr:col>19</xdr:col>
      <xdr:colOff>36634</xdr:colOff>
      <xdr:row>147</xdr:row>
      <xdr:rowOff>77019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1FC62B0-8423-AB62-3533-DDAD416EA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0" y="21183600"/>
          <a:ext cx="7620000" cy="7658919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153</xdr:row>
      <xdr:rowOff>114301</xdr:rowOff>
    </xdr:from>
    <xdr:to>
      <xdr:col>19</xdr:col>
      <xdr:colOff>492704</xdr:colOff>
      <xdr:row>182</xdr:row>
      <xdr:rowOff>190501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B332710-66F2-6053-A476-4E9A08D69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05400" y="29260801"/>
          <a:ext cx="8341304" cy="636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109904</xdr:colOff>
      <xdr:row>80</xdr:row>
      <xdr:rowOff>43963</xdr:rowOff>
    </xdr:from>
    <xdr:to>
      <xdr:col>4</xdr:col>
      <xdr:colOff>80762</xdr:colOff>
      <xdr:row>83</xdr:row>
      <xdr:rowOff>58616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F82624-1B79-DB0B-A263-F9082FE0B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904" y="17013117"/>
          <a:ext cx="2886973" cy="586153"/>
        </a:xfrm>
        <a:prstGeom prst="rect">
          <a:avLst/>
        </a:prstGeom>
      </xdr:spPr>
    </xdr:pic>
    <xdr:clientData/>
  </xdr:twoCellAnchor>
  <xdr:twoCellAnchor editAs="oneCell">
    <xdr:from>
      <xdr:col>23</xdr:col>
      <xdr:colOff>471489</xdr:colOff>
      <xdr:row>5</xdr:row>
      <xdr:rowOff>108034</xdr:rowOff>
    </xdr:from>
    <xdr:to>
      <xdr:col>34</xdr:col>
      <xdr:colOff>438150</xdr:colOff>
      <xdr:row>37</xdr:row>
      <xdr:rowOff>128888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5B76F6A-94C4-4715-F1CD-168EB0A1C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616239" y="1060534"/>
          <a:ext cx="6253161" cy="6110504"/>
        </a:xfrm>
        <a:prstGeom prst="rect">
          <a:avLst/>
        </a:prstGeom>
      </xdr:spPr>
    </xdr:pic>
    <xdr:clientData/>
  </xdr:twoCellAnchor>
  <xdr:twoCellAnchor editAs="oneCell">
    <xdr:from>
      <xdr:col>0</xdr:col>
      <xdr:colOff>58615</xdr:colOff>
      <xdr:row>102</xdr:row>
      <xdr:rowOff>73269</xdr:rowOff>
    </xdr:from>
    <xdr:to>
      <xdr:col>3</xdr:col>
      <xdr:colOff>227387</xdr:colOff>
      <xdr:row>105</xdr:row>
      <xdr:rowOff>131884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C65029B-5386-2737-1D2A-DDA599424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615" y="21233423"/>
          <a:ext cx="2476753" cy="630115"/>
        </a:xfrm>
        <a:prstGeom prst="rect">
          <a:avLst/>
        </a:prstGeom>
      </xdr:spPr>
    </xdr:pic>
    <xdr:clientData/>
  </xdr:twoCellAnchor>
  <xdr:twoCellAnchor editAs="oneCell">
    <xdr:from>
      <xdr:col>0</xdr:col>
      <xdr:colOff>124557</xdr:colOff>
      <xdr:row>106</xdr:row>
      <xdr:rowOff>117232</xdr:rowOff>
    </xdr:from>
    <xdr:to>
      <xdr:col>2</xdr:col>
      <xdr:colOff>212480</xdr:colOff>
      <xdr:row>107</xdr:row>
      <xdr:rowOff>137058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CA9C326-3225-5682-E27D-3168389AC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4557" y="22039386"/>
          <a:ext cx="1787769" cy="21032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127</xdr:row>
      <xdr:rowOff>95250</xdr:rowOff>
    </xdr:from>
    <xdr:to>
      <xdr:col>3</xdr:col>
      <xdr:colOff>37979</xdr:colOff>
      <xdr:row>130</xdr:row>
      <xdr:rowOff>53486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498ACD9-28E0-4C09-2AE3-AB61E8A5F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" y="26017904"/>
          <a:ext cx="2250710" cy="520211"/>
        </a:xfrm>
        <a:prstGeom prst="rect">
          <a:avLst/>
        </a:prstGeom>
      </xdr:spPr>
    </xdr:pic>
    <xdr:clientData/>
  </xdr:twoCellAnchor>
  <xdr:twoCellAnchor editAs="oneCell">
    <xdr:from>
      <xdr:col>23</xdr:col>
      <xdr:colOff>476250</xdr:colOff>
      <xdr:row>39</xdr:row>
      <xdr:rowOff>47625</xdr:rowOff>
    </xdr:from>
    <xdr:to>
      <xdr:col>32</xdr:col>
      <xdr:colOff>190499</xdr:colOff>
      <xdr:row>61</xdr:row>
      <xdr:rowOff>169436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2041341-172B-71BF-AEA3-5DD951100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621000" y="8239125"/>
          <a:ext cx="4857749" cy="4303286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495300</xdr:colOff>
      <xdr:row>64</xdr:row>
      <xdr:rowOff>66675</xdr:rowOff>
    </xdr:from>
    <xdr:to>
      <xdr:col>36</xdr:col>
      <xdr:colOff>493161</xdr:colOff>
      <xdr:row>81</xdr:row>
      <xdr:rowOff>130768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48A7FF4-76E3-1AE9-2D0B-BC14D5DED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640050" y="13020675"/>
          <a:ext cx="7421011" cy="4248743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234</xdr:row>
      <xdr:rowOff>47625</xdr:rowOff>
    </xdr:from>
    <xdr:to>
      <xdr:col>4</xdr:col>
      <xdr:colOff>302050</xdr:colOff>
      <xdr:row>237</xdr:row>
      <xdr:rowOff>92160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741BA43-721C-AB28-4EA6-2C7F31828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1925" y="49615725"/>
          <a:ext cx="3048425" cy="609685"/>
        </a:xfrm>
        <a:prstGeom prst="rect">
          <a:avLst/>
        </a:prstGeom>
      </xdr:spPr>
    </xdr:pic>
    <xdr:clientData/>
  </xdr:twoCellAnchor>
  <xdr:twoCellAnchor editAs="oneCell">
    <xdr:from>
      <xdr:col>7</xdr:col>
      <xdr:colOff>236286</xdr:colOff>
      <xdr:row>249</xdr:row>
      <xdr:rowOff>104993</xdr:rowOff>
    </xdr:from>
    <xdr:to>
      <xdr:col>11</xdr:col>
      <xdr:colOff>206101</xdr:colOff>
      <xdr:row>265</xdr:row>
      <xdr:rowOff>154782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C6CFCF2-BCE7-45D7-AE29-8CF971C0C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69020" y="52730618"/>
          <a:ext cx="3752828" cy="3859789"/>
        </a:xfrm>
        <a:prstGeom prst="rect">
          <a:avLst/>
        </a:prstGeom>
      </xdr:spPr>
    </xdr:pic>
    <xdr:clientData/>
  </xdr:twoCellAnchor>
  <xdr:twoCellAnchor editAs="oneCell">
    <xdr:from>
      <xdr:col>0</xdr:col>
      <xdr:colOff>178593</xdr:colOff>
      <xdr:row>261</xdr:row>
      <xdr:rowOff>107721</xdr:rowOff>
    </xdr:from>
    <xdr:to>
      <xdr:col>4</xdr:col>
      <xdr:colOff>244147</xdr:colOff>
      <xdr:row>262</xdr:row>
      <xdr:rowOff>137014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5AA896C-4C4B-5C4A-55A5-FB527ABF2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8593" y="55781346"/>
          <a:ext cx="2976632" cy="219793"/>
        </a:xfrm>
        <a:prstGeom prst="rect">
          <a:avLst/>
        </a:prstGeom>
      </xdr:spPr>
    </xdr:pic>
    <xdr:clientData/>
  </xdr:twoCellAnchor>
  <xdr:twoCellAnchor editAs="oneCell">
    <xdr:from>
      <xdr:col>11</xdr:col>
      <xdr:colOff>368545</xdr:colOff>
      <xdr:row>249</xdr:row>
      <xdr:rowOff>45427</xdr:rowOff>
    </xdr:from>
    <xdr:to>
      <xdr:col>17</xdr:col>
      <xdr:colOff>339237</xdr:colOff>
      <xdr:row>264</xdr:row>
      <xdr:rowOff>42219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33CFD64-BAE7-3144-6E65-9FD2E2007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897083" y="52652735"/>
          <a:ext cx="3609975" cy="3616292"/>
        </a:xfrm>
        <a:prstGeom prst="rect">
          <a:avLst/>
        </a:prstGeom>
      </xdr:spPr>
    </xdr:pic>
    <xdr:clientData/>
  </xdr:twoCellAnchor>
  <xdr:twoCellAnchor editAs="oneCell">
    <xdr:from>
      <xdr:col>7</xdr:col>
      <xdr:colOff>154172</xdr:colOff>
      <xdr:row>266</xdr:row>
      <xdr:rowOff>182217</xdr:rowOff>
    </xdr:from>
    <xdr:to>
      <xdr:col>12</xdr:col>
      <xdr:colOff>262448</xdr:colOff>
      <xdr:row>285</xdr:row>
      <xdr:rowOff>39132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43BCA3D-720B-D141-52B0-D3AC64B62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916672" y="56793847"/>
          <a:ext cx="4508274" cy="3476415"/>
        </a:xfrm>
        <a:prstGeom prst="rect">
          <a:avLst/>
        </a:prstGeom>
      </xdr:spPr>
    </xdr:pic>
    <xdr:clientData/>
  </xdr:twoCellAnchor>
  <xdr:oneCellAnchor>
    <xdr:from>
      <xdr:col>0</xdr:col>
      <xdr:colOff>109904</xdr:colOff>
      <xdr:row>295</xdr:row>
      <xdr:rowOff>43963</xdr:rowOff>
    </xdr:from>
    <xdr:ext cx="2894619" cy="586153"/>
    <xdr:pic>
      <xdr:nvPicPr>
        <xdr:cNvPr id="21" name="Picture 20">
          <a:extLst>
            <a:ext uri="{FF2B5EF4-FFF2-40B4-BE49-F238E27FC236}">
              <a16:creationId xmlns:a16="http://schemas.microsoft.com/office/drawing/2014/main" id="{46328F6A-B650-4407-9D98-DA8B369C4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904" y="17015028"/>
          <a:ext cx="2894619" cy="586153"/>
        </a:xfrm>
        <a:prstGeom prst="rect">
          <a:avLst/>
        </a:prstGeom>
      </xdr:spPr>
    </xdr:pic>
    <xdr:clientData/>
  </xdr:oneCellAnchor>
  <xdr:twoCellAnchor editAs="oneCell">
    <xdr:from>
      <xdr:col>8</xdr:col>
      <xdr:colOff>678474</xdr:colOff>
      <xdr:row>296</xdr:row>
      <xdr:rowOff>25499</xdr:rowOff>
    </xdr:from>
    <xdr:to>
      <xdr:col>13</xdr:col>
      <xdr:colOff>33606</xdr:colOff>
      <xdr:row>314</xdr:row>
      <xdr:rowOff>21981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1915D3F-2217-4AEE-8AE9-F205CF399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27128" y="63300807"/>
          <a:ext cx="3751286" cy="3425482"/>
        </a:xfrm>
        <a:prstGeom prst="rect">
          <a:avLst/>
        </a:prstGeom>
      </xdr:spPr>
    </xdr:pic>
    <xdr:clientData/>
  </xdr:twoCellAnchor>
  <xdr:oneCellAnchor>
    <xdr:from>
      <xdr:col>0</xdr:col>
      <xdr:colOff>58615</xdr:colOff>
      <xdr:row>318</xdr:row>
      <xdr:rowOff>73269</xdr:rowOff>
    </xdr:from>
    <xdr:ext cx="2476753" cy="630115"/>
    <xdr:pic>
      <xdr:nvPicPr>
        <xdr:cNvPr id="23" name="Picture 22">
          <a:extLst>
            <a:ext uri="{FF2B5EF4-FFF2-40B4-BE49-F238E27FC236}">
              <a16:creationId xmlns:a16="http://schemas.microsoft.com/office/drawing/2014/main" id="{EC320EE6-BB4D-4BF3-AEAE-5F3909B1F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615" y="21233423"/>
          <a:ext cx="2476753" cy="630115"/>
        </a:xfrm>
        <a:prstGeom prst="rect">
          <a:avLst/>
        </a:prstGeom>
      </xdr:spPr>
    </xdr:pic>
    <xdr:clientData/>
  </xdr:oneCellAnchor>
  <xdr:oneCellAnchor>
    <xdr:from>
      <xdr:col>0</xdr:col>
      <xdr:colOff>124557</xdr:colOff>
      <xdr:row>322</xdr:row>
      <xdr:rowOff>117232</xdr:rowOff>
    </xdr:from>
    <xdr:ext cx="1787769" cy="210326"/>
    <xdr:pic>
      <xdr:nvPicPr>
        <xdr:cNvPr id="24" name="Picture 23">
          <a:extLst>
            <a:ext uri="{FF2B5EF4-FFF2-40B4-BE49-F238E27FC236}">
              <a16:creationId xmlns:a16="http://schemas.microsoft.com/office/drawing/2014/main" id="{1EF6B437-334D-425F-BF4A-135B87B94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4557" y="22039386"/>
          <a:ext cx="1787769" cy="210326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2250710" cy="520211"/>
    <xdr:pic>
      <xdr:nvPicPr>
        <xdr:cNvPr id="25" name="Picture 24">
          <a:extLst>
            <a:ext uri="{FF2B5EF4-FFF2-40B4-BE49-F238E27FC236}">
              <a16:creationId xmlns:a16="http://schemas.microsoft.com/office/drawing/2014/main" id="{C181A760-1A51-46F3-A84D-86916A027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" y="26017904"/>
          <a:ext cx="2250710" cy="520211"/>
        </a:xfrm>
        <a:prstGeom prst="rect">
          <a:avLst/>
        </a:prstGeom>
      </xdr:spPr>
    </xdr:pic>
    <xdr:clientData/>
  </xdr:oneCellAnchor>
  <xdr:twoCellAnchor editAs="oneCell">
    <xdr:from>
      <xdr:col>9</xdr:col>
      <xdr:colOff>28575</xdr:colOff>
      <xdr:row>345</xdr:row>
      <xdr:rowOff>142876</xdr:rowOff>
    </xdr:from>
    <xdr:to>
      <xdr:col>13</xdr:col>
      <xdr:colOff>457200</xdr:colOff>
      <xdr:row>363</xdr:row>
      <xdr:rowOff>949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4C7AAF8-4F3D-1BD3-6DB5-631479DDC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105525" y="72761476"/>
          <a:ext cx="4105275" cy="3282188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666750</xdr:colOff>
      <xdr:row>363</xdr:row>
      <xdr:rowOff>180974</xdr:rowOff>
    </xdr:from>
    <xdr:to>
      <xdr:col>15</xdr:col>
      <xdr:colOff>453917</xdr:colOff>
      <xdr:row>381</xdr:row>
      <xdr:rowOff>152399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24BC1F9-336F-EDC3-1F8D-9FC5B432E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19800" y="76228574"/>
          <a:ext cx="5406917" cy="340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11</xdr:col>
      <xdr:colOff>394761</xdr:colOff>
      <xdr:row>12</xdr:row>
      <xdr:rowOff>19361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D57DF1-A861-8986-0A76-5588B5F4A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76200"/>
          <a:ext cx="7220958" cy="222916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13</xdr:col>
      <xdr:colOff>247649</xdr:colOff>
      <xdr:row>7</xdr:row>
      <xdr:rowOff>61977</xdr:rowOff>
    </xdr:from>
    <xdr:to>
      <xdr:col>26</xdr:col>
      <xdr:colOff>136024</xdr:colOff>
      <xdr:row>21</xdr:row>
      <xdr:rowOff>58256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3225CA-8FF3-73CC-2C27-0A791E40E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72449" y="1395477"/>
          <a:ext cx="7813175" cy="3234779"/>
        </a:xfrm>
        <a:prstGeom prst="rect">
          <a:avLst/>
        </a:prstGeom>
      </xdr:spPr>
    </xdr:pic>
    <xdr:clientData/>
  </xdr:twoCellAnchor>
  <xdr:twoCellAnchor editAs="oneCell">
    <xdr:from>
      <xdr:col>13</xdr:col>
      <xdr:colOff>180975</xdr:colOff>
      <xdr:row>23</xdr:row>
      <xdr:rowOff>14408</xdr:rowOff>
    </xdr:from>
    <xdr:to>
      <xdr:col>26</xdr:col>
      <xdr:colOff>135457</xdr:colOff>
      <xdr:row>48</xdr:row>
      <xdr:rowOff>115601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32F3A0-AE15-AE14-E23D-00F574443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4350" y="4967408"/>
          <a:ext cx="7879282" cy="4863693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47</xdr:row>
      <xdr:rowOff>47625</xdr:rowOff>
    </xdr:from>
    <xdr:to>
      <xdr:col>2</xdr:col>
      <xdr:colOff>449003</xdr:colOff>
      <xdr:row>49</xdr:row>
      <xdr:rowOff>146050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02E22F7-C1DF-9CCC-ACAF-D452F744D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572625"/>
          <a:ext cx="1686718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61</xdr:row>
      <xdr:rowOff>57150</xdr:rowOff>
    </xdr:from>
    <xdr:to>
      <xdr:col>2</xdr:col>
      <xdr:colOff>393794</xdr:colOff>
      <xdr:row>69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B6D192-5575-FDD4-82A6-556F04A54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8125" y="12249150"/>
          <a:ext cx="1563527" cy="1524000"/>
        </a:xfrm>
        <a:prstGeom prst="rect">
          <a:avLst/>
        </a:prstGeom>
      </xdr:spPr>
    </xdr:pic>
    <xdr:clientData/>
  </xdr:twoCellAnchor>
  <xdr:twoCellAnchor editAs="oneCell">
    <xdr:from>
      <xdr:col>10</xdr:col>
      <xdr:colOff>409575</xdr:colOff>
      <xdr:row>76</xdr:row>
      <xdr:rowOff>57449</xdr:rowOff>
    </xdr:from>
    <xdr:to>
      <xdr:col>18</xdr:col>
      <xdr:colOff>20195</xdr:colOff>
      <xdr:row>94</xdr:row>
      <xdr:rowOff>115189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3377E5A-7EBD-1F78-704D-BC1DC5A27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34150" y="15106949"/>
          <a:ext cx="4487419" cy="348674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92</xdr:row>
      <xdr:rowOff>95250</xdr:rowOff>
    </xdr:from>
    <xdr:to>
      <xdr:col>5</xdr:col>
      <xdr:colOff>252186</xdr:colOff>
      <xdr:row>95</xdr:row>
      <xdr:rowOff>117705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F3741D1-B48A-26DD-8F5B-306A301A0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8600" y="18192750"/>
          <a:ext cx="3381375" cy="59395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</xdr:col>
      <xdr:colOff>66675</xdr:colOff>
      <xdr:row>96</xdr:row>
      <xdr:rowOff>161925</xdr:rowOff>
    </xdr:from>
    <xdr:to>
      <xdr:col>2</xdr:col>
      <xdr:colOff>571500</xdr:colOff>
      <xdr:row>98</xdr:row>
      <xdr:rowOff>59907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05916FA-1559-8213-F104-B39F8962D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14450" y="19021425"/>
          <a:ext cx="504825" cy="278982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99</xdr:row>
      <xdr:rowOff>66675</xdr:rowOff>
    </xdr:from>
    <xdr:to>
      <xdr:col>3</xdr:col>
      <xdr:colOff>57252</xdr:colOff>
      <xdr:row>102</xdr:row>
      <xdr:rowOff>19123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5C04FA7-D9F8-41FD-0FE9-6B172AEEF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81100" y="19497675"/>
          <a:ext cx="733527" cy="523948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103</xdr:row>
      <xdr:rowOff>114300</xdr:rowOff>
    </xdr:from>
    <xdr:to>
      <xdr:col>3</xdr:col>
      <xdr:colOff>241446</xdr:colOff>
      <xdr:row>106</xdr:row>
      <xdr:rowOff>50870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25506D9-88E7-3E4F-60FD-1B73ED2AE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47750" y="20307300"/>
          <a:ext cx="1047896" cy="50489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171449</xdr:colOff>
      <xdr:row>118</xdr:row>
      <xdr:rowOff>28574</xdr:rowOff>
    </xdr:from>
    <xdr:to>
      <xdr:col>7</xdr:col>
      <xdr:colOff>482258</xdr:colOff>
      <xdr:row>122</xdr:row>
      <xdr:rowOff>95249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4493207-E027-8CC2-1F5A-252089305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1449" y="23079074"/>
          <a:ext cx="4892281" cy="8286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125</xdr:row>
      <xdr:rowOff>66675</xdr:rowOff>
    </xdr:from>
    <xdr:to>
      <xdr:col>3</xdr:col>
      <xdr:colOff>127101</xdr:colOff>
      <xdr:row>128</xdr:row>
      <xdr:rowOff>19123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97B01BD-8782-466C-B1BD-886FD6A4D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47775" y="24450675"/>
          <a:ext cx="733527" cy="523948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129</xdr:row>
      <xdr:rowOff>76200</xdr:rowOff>
    </xdr:from>
    <xdr:to>
      <xdr:col>6</xdr:col>
      <xdr:colOff>145945</xdr:colOff>
      <xdr:row>133</xdr:row>
      <xdr:rowOff>108060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C3F2B01-797C-0944-7220-6B385DC7B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57300" y="25222200"/>
          <a:ext cx="2695951" cy="79068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140</xdr:row>
      <xdr:rowOff>168156</xdr:rowOff>
    </xdr:from>
    <xdr:to>
      <xdr:col>7</xdr:col>
      <xdr:colOff>56303</xdr:colOff>
      <xdr:row>147</xdr:row>
      <xdr:rowOff>32032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C611A65-5BE9-B8A3-65FA-6C31C7C35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42925" y="27409656"/>
          <a:ext cx="4087193" cy="119420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495300</xdr:colOff>
      <xdr:row>160</xdr:row>
      <xdr:rowOff>66676</xdr:rowOff>
    </xdr:from>
    <xdr:to>
      <xdr:col>6</xdr:col>
      <xdr:colOff>568036</xdr:colOff>
      <xdr:row>166</xdr:row>
      <xdr:rowOff>127001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CF15ECF-3C3E-022D-956C-F5985840C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95300" y="31118176"/>
          <a:ext cx="4038765" cy="120015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</xdr:col>
      <xdr:colOff>19050</xdr:colOff>
      <xdr:row>148</xdr:row>
      <xdr:rowOff>142875</xdr:rowOff>
    </xdr:from>
    <xdr:to>
      <xdr:col>4</xdr:col>
      <xdr:colOff>57324</xdr:colOff>
      <xdr:row>152</xdr:row>
      <xdr:rowOff>31840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98D871E-3B4D-C109-7FE3-EAE85919F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66825" y="28908375"/>
          <a:ext cx="1257475" cy="64779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153</xdr:row>
      <xdr:rowOff>123825</xdr:rowOff>
    </xdr:from>
    <xdr:to>
      <xdr:col>5</xdr:col>
      <xdr:colOff>12493</xdr:colOff>
      <xdr:row>157</xdr:row>
      <xdr:rowOff>95352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7310799-5D4B-D882-0503-74D4DB083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47775" y="29841825"/>
          <a:ext cx="1962424" cy="733527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168</xdr:row>
      <xdr:rowOff>66675</xdr:rowOff>
    </xdr:from>
    <xdr:to>
      <xdr:col>4</xdr:col>
      <xdr:colOff>266874</xdr:colOff>
      <xdr:row>171</xdr:row>
      <xdr:rowOff>146140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5C59BC9-4BFA-4A71-8F8B-4991358A9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76375" y="32642175"/>
          <a:ext cx="1257475" cy="647790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173</xdr:row>
      <xdr:rowOff>47625</xdr:rowOff>
    </xdr:from>
    <xdr:to>
      <xdr:col>5</xdr:col>
      <xdr:colOff>222043</xdr:colOff>
      <xdr:row>177</xdr:row>
      <xdr:rowOff>19152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12BB131-0B1E-46C6-B97A-9617C1B82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57325" y="33575625"/>
          <a:ext cx="1962424" cy="733527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</xdr:colOff>
      <xdr:row>221</xdr:row>
      <xdr:rowOff>54429</xdr:rowOff>
    </xdr:from>
    <xdr:to>
      <xdr:col>24</xdr:col>
      <xdr:colOff>447168</xdr:colOff>
      <xdr:row>258</xdr:row>
      <xdr:rowOff>18935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FEF106D3-064D-8E39-3E75-2B480E23B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7714" y="42726429"/>
          <a:ext cx="15067110" cy="701300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201706</xdr:colOff>
      <xdr:row>259</xdr:row>
      <xdr:rowOff>5603</xdr:rowOff>
    </xdr:from>
    <xdr:to>
      <xdr:col>24</xdr:col>
      <xdr:colOff>444467</xdr:colOff>
      <xdr:row>296</xdr:row>
      <xdr:rowOff>70410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60C72FE-FF1E-DA71-AE15-A0288CCC4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1706" y="49916603"/>
          <a:ext cx="15080417" cy="711013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190499</xdr:colOff>
      <xdr:row>184</xdr:row>
      <xdr:rowOff>0</xdr:rowOff>
    </xdr:from>
    <xdr:to>
      <xdr:col>24</xdr:col>
      <xdr:colOff>422625</xdr:colOff>
      <xdr:row>220</xdr:row>
      <xdr:rowOff>39063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7C43A46-2DE7-CE87-0DC6-217C4053A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499" y="35623500"/>
          <a:ext cx="15243473" cy="689706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oneCellAnchor>
    <xdr:from>
      <xdr:col>0</xdr:col>
      <xdr:colOff>190500</xdr:colOff>
      <xdr:row>309</xdr:row>
      <xdr:rowOff>76200</xdr:rowOff>
    </xdr:from>
    <xdr:ext cx="7172212" cy="2229161"/>
    <xdr:pic>
      <xdr:nvPicPr>
        <xdr:cNvPr id="28" name="Picture 27">
          <a:extLst>
            <a:ext uri="{FF2B5EF4-FFF2-40B4-BE49-F238E27FC236}">
              <a16:creationId xmlns:a16="http://schemas.microsoft.com/office/drawing/2014/main" id="{F791A3E8-A77A-4531-B720-DEDAB9FA9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76200"/>
          <a:ext cx="7172212" cy="222916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oneCellAnchor>
  <xdr:oneCellAnchor>
    <xdr:from>
      <xdr:col>13</xdr:col>
      <xdr:colOff>247649</xdr:colOff>
      <xdr:row>316</xdr:row>
      <xdr:rowOff>61977</xdr:rowOff>
    </xdr:from>
    <xdr:ext cx="7754904" cy="3234779"/>
    <xdr:pic>
      <xdr:nvPicPr>
        <xdr:cNvPr id="29" name="Picture 28">
          <a:extLst>
            <a:ext uri="{FF2B5EF4-FFF2-40B4-BE49-F238E27FC236}">
              <a16:creationId xmlns:a16="http://schemas.microsoft.com/office/drawing/2014/main" id="{0FEF9D1B-087B-4A3F-ADDE-1375B693F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47796" y="1395477"/>
          <a:ext cx="7754904" cy="3234779"/>
        </a:xfrm>
        <a:prstGeom prst="rect">
          <a:avLst/>
        </a:prstGeom>
      </xdr:spPr>
    </xdr:pic>
    <xdr:clientData/>
  </xdr:oneCellAnchor>
  <xdr:oneCellAnchor>
    <xdr:from>
      <xdr:col>0</xdr:col>
      <xdr:colOff>171450</xdr:colOff>
      <xdr:row>377</xdr:row>
      <xdr:rowOff>47625</xdr:rowOff>
    </xdr:from>
    <xdr:ext cx="1678314" cy="476250"/>
    <xdr:pic>
      <xdr:nvPicPr>
        <xdr:cNvPr id="31" name="Picture 30">
          <a:extLst>
            <a:ext uri="{FF2B5EF4-FFF2-40B4-BE49-F238E27FC236}">
              <a16:creationId xmlns:a16="http://schemas.microsoft.com/office/drawing/2014/main" id="{3AD769D5-774D-43D1-A737-CE8895264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572625"/>
          <a:ext cx="1678314" cy="476250"/>
        </a:xfrm>
        <a:prstGeom prst="rect">
          <a:avLst/>
        </a:prstGeom>
      </xdr:spPr>
    </xdr:pic>
    <xdr:clientData/>
  </xdr:oneCellAnchor>
  <xdr:oneCellAnchor>
    <xdr:from>
      <xdr:col>10</xdr:col>
      <xdr:colOff>577663</xdr:colOff>
      <xdr:row>414</xdr:row>
      <xdr:rowOff>46242</xdr:rowOff>
    </xdr:from>
    <xdr:ext cx="4451560" cy="3486740"/>
    <xdr:pic>
      <xdr:nvPicPr>
        <xdr:cNvPr id="33" name="Picture 32">
          <a:extLst>
            <a:ext uri="{FF2B5EF4-FFF2-40B4-BE49-F238E27FC236}">
              <a16:creationId xmlns:a16="http://schemas.microsoft.com/office/drawing/2014/main" id="{CD7BB82C-114B-4414-B2EE-F73A0D037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40898" y="81793154"/>
          <a:ext cx="4451560" cy="3486740"/>
        </a:xfrm>
        <a:prstGeom prst="rect">
          <a:avLst/>
        </a:prstGeom>
      </xdr:spPr>
    </xdr:pic>
    <xdr:clientData/>
  </xdr:oneCellAnchor>
  <xdr:twoCellAnchor editAs="oneCell">
    <xdr:from>
      <xdr:col>13</xdr:col>
      <xdr:colOff>291353</xdr:colOff>
      <xdr:row>333</xdr:row>
      <xdr:rowOff>44824</xdr:rowOff>
    </xdr:from>
    <xdr:to>
      <xdr:col>21</xdr:col>
      <xdr:colOff>134470</xdr:colOff>
      <xdr:row>345</xdr:row>
      <xdr:rowOff>146418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A0CD134-8165-C29C-4EE3-CA1B1C314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191500" y="66361236"/>
          <a:ext cx="4684059" cy="2384419"/>
        </a:xfrm>
        <a:prstGeom prst="rect">
          <a:avLst/>
        </a:prstGeom>
      </xdr:spPr>
    </xdr:pic>
    <xdr:clientData/>
  </xdr:twoCellAnchor>
  <xdr:twoCellAnchor editAs="oneCell">
    <xdr:from>
      <xdr:col>13</xdr:col>
      <xdr:colOff>356522</xdr:colOff>
      <xdr:row>347</xdr:row>
      <xdr:rowOff>156877</xdr:rowOff>
    </xdr:from>
    <xdr:to>
      <xdr:col>25</xdr:col>
      <xdr:colOff>427189</xdr:colOff>
      <xdr:row>371</xdr:row>
      <xdr:rowOff>89632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BAC95198-5B53-1E8B-2F93-8A1A277FC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256669" y="69140289"/>
          <a:ext cx="7328904" cy="4501580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381001</xdr:colOff>
      <xdr:row>372</xdr:row>
      <xdr:rowOff>22412</xdr:rowOff>
    </xdr:from>
    <xdr:to>
      <xdr:col>26</xdr:col>
      <xdr:colOff>522999</xdr:colOff>
      <xdr:row>397</xdr:row>
      <xdr:rowOff>180157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B014B7D5-AADA-81CB-CE95-DE4ACE635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281148" y="73768324"/>
          <a:ext cx="8005352" cy="4917070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179293</xdr:colOff>
      <xdr:row>392</xdr:row>
      <xdr:rowOff>78441</xdr:rowOff>
    </xdr:from>
    <xdr:to>
      <xdr:col>3</xdr:col>
      <xdr:colOff>67208</xdr:colOff>
      <xdr:row>394</xdr:row>
      <xdr:rowOff>38324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FC3C7F8C-5644-B53E-A304-5B67743DA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79293" y="77634353"/>
          <a:ext cx="1893795" cy="340883"/>
        </a:xfrm>
        <a:prstGeom prst="rect">
          <a:avLst/>
        </a:prstGeom>
      </xdr:spPr>
    </xdr:pic>
    <xdr:clientData/>
  </xdr:twoCellAnchor>
  <xdr:oneCellAnchor>
    <xdr:from>
      <xdr:col>0</xdr:col>
      <xdr:colOff>102534</xdr:colOff>
      <xdr:row>396</xdr:row>
      <xdr:rowOff>131857</xdr:rowOff>
    </xdr:from>
    <xdr:ext cx="1559605" cy="1524000"/>
    <xdr:pic>
      <xdr:nvPicPr>
        <xdr:cNvPr id="52" name="Picture 51">
          <a:extLst>
            <a:ext uri="{FF2B5EF4-FFF2-40B4-BE49-F238E27FC236}">
              <a16:creationId xmlns:a16="http://schemas.microsoft.com/office/drawing/2014/main" id="{2F166694-C0D1-4CD0-8CFF-BB1B82A91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534" y="79917739"/>
          <a:ext cx="1559605" cy="1524000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432</xdr:row>
      <xdr:rowOff>95250</xdr:rowOff>
    </xdr:from>
    <xdr:ext cx="3364006" cy="593955"/>
    <xdr:pic>
      <xdr:nvPicPr>
        <xdr:cNvPr id="66" name="Picture 65">
          <a:extLst>
            <a:ext uri="{FF2B5EF4-FFF2-40B4-BE49-F238E27FC236}">
              <a16:creationId xmlns:a16="http://schemas.microsoft.com/office/drawing/2014/main" id="{40EF8DA8-FF97-478D-BA42-7EE7D8BC9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8600" y="18192750"/>
          <a:ext cx="3364006" cy="59395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oneCellAnchor>
  <xdr:oneCellAnchor>
    <xdr:from>
      <xdr:col>2</xdr:col>
      <xdr:colOff>66675</xdr:colOff>
      <xdr:row>436</xdr:row>
      <xdr:rowOff>161925</xdr:rowOff>
    </xdr:from>
    <xdr:ext cx="504825" cy="278982"/>
    <xdr:pic>
      <xdr:nvPicPr>
        <xdr:cNvPr id="67" name="Picture 66">
          <a:extLst>
            <a:ext uri="{FF2B5EF4-FFF2-40B4-BE49-F238E27FC236}">
              <a16:creationId xmlns:a16="http://schemas.microsoft.com/office/drawing/2014/main" id="{2AE6DDAE-4614-46D3-90D8-FC819249C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8969" y="19021425"/>
          <a:ext cx="504825" cy="278982"/>
        </a:xfrm>
        <a:prstGeom prst="rect">
          <a:avLst/>
        </a:prstGeom>
      </xdr:spPr>
    </xdr:pic>
    <xdr:clientData/>
  </xdr:oneCellAnchor>
  <xdr:oneCellAnchor>
    <xdr:from>
      <xdr:col>1</xdr:col>
      <xdr:colOff>542925</xdr:colOff>
      <xdr:row>439</xdr:row>
      <xdr:rowOff>66675</xdr:rowOff>
    </xdr:from>
    <xdr:ext cx="724563" cy="523948"/>
    <xdr:pic>
      <xdr:nvPicPr>
        <xdr:cNvPr id="68" name="Picture 67">
          <a:extLst>
            <a:ext uri="{FF2B5EF4-FFF2-40B4-BE49-F238E27FC236}">
              <a16:creationId xmlns:a16="http://schemas.microsoft.com/office/drawing/2014/main" id="{8B053B8B-E683-44EA-81CE-AE9794295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60101" y="19497675"/>
          <a:ext cx="724563" cy="523948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443</xdr:row>
      <xdr:rowOff>114300</xdr:rowOff>
    </xdr:from>
    <xdr:ext cx="1038932" cy="504895"/>
    <xdr:pic>
      <xdr:nvPicPr>
        <xdr:cNvPr id="69" name="Picture 68">
          <a:extLst>
            <a:ext uri="{FF2B5EF4-FFF2-40B4-BE49-F238E27FC236}">
              <a16:creationId xmlns:a16="http://schemas.microsoft.com/office/drawing/2014/main" id="{4BBD107E-28C9-4B0A-92E8-70DC961B3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26751" y="20307300"/>
          <a:ext cx="1038932" cy="504895"/>
        </a:xfrm>
        <a:prstGeom prst="rect">
          <a:avLst/>
        </a:prstGeom>
      </xdr:spPr>
    </xdr:pic>
    <xdr:clientData/>
  </xdr:oneCellAnchor>
  <xdr:oneCellAnchor>
    <xdr:from>
      <xdr:col>0</xdr:col>
      <xdr:colOff>171449</xdr:colOff>
      <xdr:row>458</xdr:row>
      <xdr:rowOff>28574</xdr:rowOff>
    </xdr:from>
    <xdr:ext cx="4861465" cy="828675"/>
    <xdr:pic>
      <xdr:nvPicPr>
        <xdr:cNvPr id="70" name="Picture 69">
          <a:extLst>
            <a:ext uri="{FF2B5EF4-FFF2-40B4-BE49-F238E27FC236}">
              <a16:creationId xmlns:a16="http://schemas.microsoft.com/office/drawing/2014/main" id="{A005517E-A79B-49B0-8BC3-1A81BC530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1449" y="23079074"/>
          <a:ext cx="4861465" cy="8286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465</xdr:row>
      <xdr:rowOff>66675</xdr:rowOff>
    </xdr:from>
    <xdr:ext cx="729045" cy="523948"/>
    <xdr:pic>
      <xdr:nvPicPr>
        <xdr:cNvPr id="71" name="Picture 70">
          <a:extLst>
            <a:ext uri="{FF2B5EF4-FFF2-40B4-BE49-F238E27FC236}">
              <a16:creationId xmlns:a16="http://schemas.microsoft.com/office/drawing/2014/main" id="{2533B2C0-805C-498C-9AEB-53CE6F96D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22294" y="24450675"/>
          <a:ext cx="729045" cy="523948"/>
        </a:xfrm>
        <a:prstGeom prst="rect">
          <a:avLst/>
        </a:prstGeom>
      </xdr:spPr>
    </xdr:pic>
    <xdr:clientData/>
  </xdr:oneCellAnchor>
  <xdr:oneCellAnchor>
    <xdr:from>
      <xdr:col>2</xdr:col>
      <xdr:colOff>9525</xdr:colOff>
      <xdr:row>469</xdr:row>
      <xdr:rowOff>76200</xdr:rowOff>
    </xdr:from>
    <xdr:ext cx="2678022" cy="790685"/>
    <xdr:pic>
      <xdr:nvPicPr>
        <xdr:cNvPr id="72" name="Picture 71">
          <a:extLst>
            <a:ext uri="{FF2B5EF4-FFF2-40B4-BE49-F238E27FC236}">
              <a16:creationId xmlns:a16="http://schemas.microsoft.com/office/drawing/2014/main" id="{8C6CC46D-082A-4F23-B613-68EFC7333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31819" y="25222200"/>
          <a:ext cx="2678022" cy="790685"/>
        </a:xfrm>
        <a:prstGeom prst="rect">
          <a:avLst/>
        </a:prstGeom>
      </xdr:spPr>
    </xdr:pic>
    <xdr:clientData/>
  </xdr:oneCellAnchor>
  <xdr:oneCellAnchor>
    <xdr:from>
      <xdr:col>0</xdr:col>
      <xdr:colOff>542925</xdr:colOff>
      <xdr:row>480</xdr:row>
      <xdr:rowOff>168156</xdr:rowOff>
    </xdr:from>
    <xdr:ext cx="4060859" cy="1194201"/>
    <xdr:pic>
      <xdr:nvPicPr>
        <xdr:cNvPr id="73" name="Picture 72">
          <a:extLst>
            <a:ext uri="{FF2B5EF4-FFF2-40B4-BE49-F238E27FC236}">
              <a16:creationId xmlns:a16="http://schemas.microsoft.com/office/drawing/2014/main" id="{B04876EB-AF93-4EA4-A26A-D0B90724B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42925" y="27409656"/>
          <a:ext cx="4060859" cy="119420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oneCellAnchor>
  <xdr:oneCellAnchor>
    <xdr:from>
      <xdr:col>0</xdr:col>
      <xdr:colOff>495300</xdr:colOff>
      <xdr:row>500</xdr:row>
      <xdr:rowOff>66676</xdr:rowOff>
    </xdr:from>
    <xdr:ext cx="4012431" cy="1200150"/>
    <xdr:pic>
      <xdr:nvPicPr>
        <xdr:cNvPr id="74" name="Picture 73">
          <a:extLst>
            <a:ext uri="{FF2B5EF4-FFF2-40B4-BE49-F238E27FC236}">
              <a16:creationId xmlns:a16="http://schemas.microsoft.com/office/drawing/2014/main" id="{E66572B3-9726-4573-AC2B-4532F7F6C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95300" y="31118176"/>
          <a:ext cx="4012431" cy="120015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oneCellAnchor>
  <xdr:oneCellAnchor>
    <xdr:from>
      <xdr:col>2</xdr:col>
      <xdr:colOff>19050</xdr:colOff>
      <xdr:row>488</xdr:row>
      <xdr:rowOff>142875</xdr:rowOff>
    </xdr:from>
    <xdr:ext cx="1248510" cy="647790"/>
    <xdr:pic>
      <xdr:nvPicPr>
        <xdr:cNvPr id="75" name="Picture 74">
          <a:extLst>
            <a:ext uri="{FF2B5EF4-FFF2-40B4-BE49-F238E27FC236}">
              <a16:creationId xmlns:a16="http://schemas.microsoft.com/office/drawing/2014/main" id="{D7B50A77-E898-4624-8B5F-DB5D02E11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41344" y="28908375"/>
          <a:ext cx="1248510" cy="6477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493</xdr:row>
      <xdr:rowOff>123825</xdr:rowOff>
    </xdr:from>
    <xdr:ext cx="1948977" cy="733527"/>
    <xdr:pic>
      <xdr:nvPicPr>
        <xdr:cNvPr id="76" name="Picture 75">
          <a:extLst>
            <a:ext uri="{FF2B5EF4-FFF2-40B4-BE49-F238E27FC236}">
              <a16:creationId xmlns:a16="http://schemas.microsoft.com/office/drawing/2014/main" id="{B93B7A38-24FC-48AA-8CE1-9BB8DEA18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322294" y="29841825"/>
          <a:ext cx="1948977" cy="733527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508</xdr:row>
      <xdr:rowOff>66675</xdr:rowOff>
    </xdr:from>
    <xdr:ext cx="1248510" cy="647790"/>
    <xdr:pic>
      <xdr:nvPicPr>
        <xdr:cNvPr id="77" name="Picture 76">
          <a:extLst>
            <a:ext uri="{FF2B5EF4-FFF2-40B4-BE49-F238E27FC236}">
              <a16:creationId xmlns:a16="http://schemas.microsoft.com/office/drawing/2014/main" id="{B6A88D0F-37FD-4C91-882B-3698B60B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50894" y="32642175"/>
          <a:ext cx="1248510" cy="647790"/>
        </a:xfrm>
        <a:prstGeom prst="rect">
          <a:avLst/>
        </a:prstGeom>
      </xdr:spPr>
    </xdr:pic>
    <xdr:clientData/>
  </xdr:oneCellAnchor>
  <xdr:oneCellAnchor>
    <xdr:from>
      <xdr:col>2</xdr:col>
      <xdr:colOff>209550</xdr:colOff>
      <xdr:row>513</xdr:row>
      <xdr:rowOff>47625</xdr:rowOff>
    </xdr:from>
    <xdr:ext cx="1948977" cy="733527"/>
    <xdr:pic>
      <xdr:nvPicPr>
        <xdr:cNvPr id="78" name="Picture 77">
          <a:extLst>
            <a:ext uri="{FF2B5EF4-FFF2-40B4-BE49-F238E27FC236}">
              <a16:creationId xmlns:a16="http://schemas.microsoft.com/office/drawing/2014/main" id="{C078BF3D-5AA0-4323-B8F6-CC198A678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31844" y="33575625"/>
          <a:ext cx="1948977" cy="733527"/>
        </a:xfrm>
        <a:prstGeom prst="rect">
          <a:avLst/>
        </a:prstGeom>
      </xdr:spPr>
    </xdr:pic>
    <xdr:clientData/>
  </xdr:oneCellAnchor>
  <xdr:twoCellAnchor editAs="oneCell">
    <xdr:from>
      <xdr:col>9</xdr:col>
      <xdr:colOff>278493</xdr:colOff>
      <xdr:row>509</xdr:row>
      <xdr:rowOff>456</xdr:rowOff>
    </xdr:from>
    <xdr:to>
      <xdr:col>25</xdr:col>
      <xdr:colOff>73061</xdr:colOff>
      <xdr:row>529</xdr:row>
      <xdr:rowOff>153060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44FA99-A1BC-667D-EF17-D0828608E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966279" y="99840599"/>
          <a:ext cx="9515964" cy="3962604"/>
        </a:xfrm>
        <a:prstGeom prst="rect">
          <a:avLst/>
        </a:prstGeom>
      </xdr:spPr>
    </xdr:pic>
    <xdr:clientData/>
  </xdr:twoCellAnchor>
  <xdr:twoCellAnchor editAs="oneCell">
    <xdr:from>
      <xdr:col>9</xdr:col>
      <xdr:colOff>112485</xdr:colOff>
      <xdr:row>485</xdr:row>
      <xdr:rowOff>43089</xdr:rowOff>
    </xdr:from>
    <xdr:to>
      <xdr:col>25</xdr:col>
      <xdr:colOff>211817</xdr:colOff>
      <xdr:row>505</xdr:row>
      <xdr:rowOff>60120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EF91E05-CBF4-7678-8DBB-F941AE195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800271" y="95311232"/>
          <a:ext cx="9823903" cy="3827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7</xdr:col>
      <xdr:colOff>820148</xdr:colOff>
      <xdr:row>14</xdr:row>
      <xdr:rowOff>130558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4F692B-58A2-7DCC-FAE5-7699E86A4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47625"/>
          <a:ext cx="7154273" cy="274358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149960</xdr:colOff>
      <xdr:row>14</xdr:row>
      <xdr:rowOff>193963</xdr:rowOff>
    </xdr:from>
    <xdr:to>
      <xdr:col>12</xdr:col>
      <xdr:colOff>132960</xdr:colOff>
      <xdr:row>47</xdr:row>
      <xdr:rowOff>100154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2EAF809-422B-E574-9351-0C7A7D181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960" y="2941781"/>
          <a:ext cx="10708727" cy="638319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5</xdr:col>
      <xdr:colOff>44825</xdr:colOff>
      <xdr:row>68</xdr:row>
      <xdr:rowOff>33618</xdr:rowOff>
    </xdr:from>
    <xdr:to>
      <xdr:col>11</xdr:col>
      <xdr:colOff>625336</xdr:colOff>
      <xdr:row>84</xdr:row>
      <xdr:rowOff>167411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BBD887E-029A-97AC-6E33-E94FCE21D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03060" y="13368618"/>
          <a:ext cx="5687219" cy="3172268"/>
        </a:xfrm>
        <a:prstGeom prst="rect">
          <a:avLst/>
        </a:prstGeom>
      </xdr:spPr>
    </xdr:pic>
    <xdr:clientData/>
  </xdr:twoCellAnchor>
  <xdr:twoCellAnchor>
    <xdr:from>
      <xdr:col>10</xdr:col>
      <xdr:colOff>549088</xdr:colOff>
      <xdr:row>104</xdr:row>
      <xdr:rowOff>145676</xdr:rowOff>
    </xdr:from>
    <xdr:to>
      <xdr:col>23</xdr:col>
      <xdr:colOff>251546</xdr:colOff>
      <xdr:row>133</xdr:row>
      <xdr:rowOff>19982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C376A9F9-C287-096A-2349-B3C7E31D659E}"/>
            </a:ext>
          </a:extLst>
        </xdr:cNvPr>
        <xdr:cNvGrpSpPr/>
      </xdr:nvGrpSpPr>
      <xdr:grpSpPr>
        <a:xfrm>
          <a:off x="9536206" y="20529176"/>
          <a:ext cx="10773869" cy="5398806"/>
          <a:chOff x="5838265" y="21571324"/>
          <a:chExt cx="10773869" cy="5398806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82BC98DD-EC57-BFB9-D0BA-1DC341DCFC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5838265" y="22427634"/>
            <a:ext cx="10773869" cy="4542496"/>
          </a:xfrm>
          <a:prstGeom prst="rect">
            <a:avLst/>
          </a:prstGeom>
        </xdr:spPr>
      </xdr:pic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B05386E5-6169-BF58-2A90-F30E580BBCC8}"/>
              </a:ext>
            </a:extLst>
          </xdr:cNvPr>
          <xdr:cNvSpPr txBox="1"/>
        </xdr:nvSpPr>
        <xdr:spPr>
          <a:xfrm>
            <a:off x="6118412" y="21571324"/>
            <a:ext cx="2342029" cy="60511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1100"/>
              <a:t>5 DP 20 degree pressure angle</a:t>
            </a:r>
            <a:r>
              <a:rPr lang="en-AU" sz="1100" baseline="0"/>
              <a:t> 2 1/2 in face spur gear table martin catelogue</a:t>
            </a:r>
          </a:p>
          <a:p>
            <a:endParaRPr lang="en-AU" sz="1100"/>
          </a:p>
        </xdr:txBody>
      </xdr:sp>
    </xdr:grpSp>
    <xdr:clientData/>
  </xdr:twoCellAnchor>
  <xdr:twoCellAnchor editAs="oneCell">
    <xdr:from>
      <xdr:col>3</xdr:col>
      <xdr:colOff>790576</xdr:colOff>
      <xdr:row>217</xdr:row>
      <xdr:rowOff>180975</xdr:rowOff>
    </xdr:from>
    <xdr:to>
      <xdr:col>10</xdr:col>
      <xdr:colOff>552451</xdr:colOff>
      <xdr:row>222</xdr:row>
      <xdr:rowOff>33550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C152BB-93F5-E28C-FFD5-84244881E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33751" y="42281475"/>
          <a:ext cx="5695950" cy="79555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5</xdr:col>
      <xdr:colOff>485775</xdr:colOff>
      <xdr:row>231</xdr:row>
      <xdr:rowOff>175595</xdr:rowOff>
    </xdr:from>
    <xdr:to>
      <xdr:col>8</xdr:col>
      <xdr:colOff>419674</xdr:colOff>
      <xdr:row>237</xdr:row>
      <xdr:rowOff>168537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DB5E7BC-E4DF-DC8D-0296-5140E41D5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24400" y="44943095"/>
          <a:ext cx="2477074" cy="1129592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295275</xdr:colOff>
      <xdr:row>239</xdr:row>
      <xdr:rowOff>152276</xdr:rowOff>
    </xdr:from>
    <xdr:to>
      <xdr:col>12</xdr:col>
      <xdr:colOff>529088</xdr:colOff>
      <xdr:row>242</xdr:row>
      <xdr:rowOff>152566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3CC9685-C1B1-20CC-6232-D9C338E48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86175" y="46443776"/>
          <a:ext cx="7012438" cy="57179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3</xdr:col>
      <xdr:colOff>285750</xdr:colOff>
      <xdr:row>245</xdr:row>
      <xdr:rowOff>134526</xdr:rowOff>
    </xdr:from>
    <xdr:to>
      <xdr:col>6</xdr:col>
      <xdr:colOff>438807</xdr:colOff>
      <xdr:row>251</xdr:row>
      <xdr:rowOff>149506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9AAD321-1FAA-0ABD-EC63-A8A52A869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28925" y="47569026"/>
          <a:ext cx="2696232" cy="1151630"/>
        </a:xfrm>
        <a:prstGeom prst="rect">
          <a:avLst/>
        </a:prstGeom>
      </xdr:spPr>
    </xdr:pic>
    <xdr:clientData/>
  </xdr:twoCellAnchor>
  <xdr:twoCellAnchor editAs="oneCell">
    <xdr:from>
      <xdr:col>4</xdr:col>
      <xdr:colOff>152399</xdr:colOff>
      <xdr:row>253</xdr:row>
      <xdr:rowOff>164201</xdr:rowOff>
    </xdr:from>
    <xdr:to>
      <xdr:col>9</xdr:col>
      <xdr:colOff>477467</xdr:colOff>
      <xdr:row>279</xdr:row>
      <xdr:rowOff>55265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720011B-3D42-6DD6-2D81-E9AE5DF52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43299" y="49122701"/>
          <a:ext cx="4563693" cy="483771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261</xdr:row>
      <xdr:rowOff>95250</xdr:rowOff>
    </xdr:from>
    <xdr:to>
      <xdr:col>2</xdr:col>
      <xdr:colOff>263525</xdr:colOff>
      <xdr:row>265</xdr:row>
      <xdr:rowOff>128800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C0E7AD7-7BF8-4016-A11F-B90B2755B2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62208" r="-670"/>
        <a:stretch>
          <a:fillRect/>
        </a:stretch>
      </xdr:blipFill>
      <xdr:spPr>
        <a:xfrm>
          <a:off x="238125" y="50577750"/>
          <a:ext cx="2190750" cy="79555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295275</xdr:colOff>
      <xdr:row>281</xdr:row>
      <xdr:rowOff>150782</xdr:rowOff>
    </xdr:from>
    <xdr:to>
      <xdr:col>8</xdr:col>
      <xdr:colOff>836182</xdr:colOff>
      <xdr:row>292</xdr:row>
      <xdr:rowOff>114908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54063FE-3B9A-72B6-D0C2-717C851B7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686175" y="54443282"/>
          <a:ext cx="3925457" cy="2059626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295</xdr:row>
      <xdr:rowOff>19050</xdr:rowOff>
    </xdr:from>
    <xdr:to>
      <xdr:col>7</xdr:col>
      <xdr:colOff>324202</xdr:colOff>
      <xdr:row>298</xdr:row>
      <xdr:rowOff>77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7B33417-52B5-0AB6-5B44-C5034DCC7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33800" y="56978550"/>
          <a:ext cx="2524477" cy="552527"/>
        </a:xfrm>
        <a:prstGeom prst="rect">
          <a:avLst/>
        </a:prstGeom>
      </xdr:spPr>
    </xdr:pic>
    <xdr:clientData/>
  </xdr:twoCellAnchor>
  <xdr:twoCellAnchor editAs="oneCell">
    <xdr:from>
      <xdr:col>5</xdr:col>
      <xdr:colOff>219048</xdr:colOff>
      <xdr:row>298</xdr:row>
      <xdr:rowOff>85725</xdr:rowOff>
    </xdr:from>
    <xdr:to>
      <xdr:col>12</xdr:col>
      <xdr:colOff>397905</xdr:colOff>
      <xdr:row>313</xdr:row>
      <xdr:rowOff>35397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8E28878-E2D3-8E1E-4E5A-CD3E158D0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57673" y="57616725"/>
          <a:ext cx="6106582" cy="2800822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297</xdr:row>
      <xdr:rowOff>133350</xdr:rowOff>
    </xdr:from>
    <xdr:to>
      <xdr:col>2</xdr:col>
      <xdr:colOff>704851</xdr:colOff>
      <xdr:row>299</xdr:row>
      <xdr:rowOff>57785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DAABF50-DAF6-6F8F-FC54-06A77B31C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2401" y="57473850"/>
          <a:ext cx="2724150" cy="30543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314</xdr:row>
      <xdr:rowOff>152400</xdr:rowOff>
    </xdr:from>
    <xdr:to>
      <xdr:col>15</xdr:col>
      <xdr:colOff>798187</xdr:colOff>
      <xdr:row>341</xdr:row>
      <xdr:rowOff>130889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1EC3F2C-2495-75E4-5A53-245CA31DA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943475" y="60731400"/>
          <a:ext cx="9040487" cy="5115639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319</xdr:row>
      <xdr:rowOff>66675</xdr:rowOff>
    </xdr:from>
    <xdr:to>
      <xdr:col>2</xdr:col>
      <xdr:colOff>473427</xdr:colOff>
      <xdr:row>322</xdr:row>
      <xdr:rowOff>54052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D04FF7C-E16E-420A-8E1E-C74658A99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4300" y="61598175"/>
          <a:ext cx="2524477" cy="552527"/>
        </a:xfrm>
        <a:prstGeom prst="rect">
          <a:avLst/>
        </a:prstGeom>
      </xdr:spPr>
    </xdr:pic>
    <xdr:clientData/>
  </xdr:twoCellAnchor>
  <xdr:twoCellAnchor>
    <xdr:from>
      <xdr:col>15</xdr:col>
      <xdr:colOff>573433</xdr:colOff>
      <xdr:row>197</xdr:row>
      <xdr:rowOff>143702</xdr:rowOff>
    </xdr:from>
    <xdr:to>
      <xdr:col>28</xdr:col>
      <xdr:colOff>288039</xdr:colOff>
      <xdr:row>226</xdr:row>
      <xdr:rowOff>3653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3577E247-D5BF-416B-94D6-1DB165E3B174}"/>
            </a:ext>
          </a:extLst>
        </xdr:cNvPr>
        <xdr:cNvGrpSpPr/>
      </xdr:nvGrpSpPr>
      <xdr:grpSpPr>
        <a:xfrm>
          <a:off x="13818786" y="38243702"/>
          <a:ext cx="10786018" cy="5429275"/>
          <a:chOff x="5838265" y="21571324"/>
          <a:chExt cx="10773869" cy="5398806"/>
        </a:xfrm>
      </xdr:grpSpPr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6EE817F1-362B-24BC-0D76-CFAAB8B803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5838265" y="22427634"/>
            <a:ext cx="10773869" cy="4542496"/>
          </a:xfrm>
          <a:prstGeom prst="rect">
            <a:avLst/>
          </a:prstGeom>
        </xdr:spPr>
      </xdr:pic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3F462485-B622-1B33-3CFD-134113EFAFEF}"/>
              </a:ext>
            </a:extLst>
          </xdr:cNvPr>
          <xdr:cNvSpPr txBox="1"/>
        </xdr:nvSpPr>
        <xdr:spPr>
          <a:xfrm>
            <a:off x="6118412" y="21571324"/>
            <a:ext cx="2342029" cy="60511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1100"/>
              <a:t>5 DP 20 degree pressure angle</a:t>
            </a:r>
            <a:r>
              <a:rPr lang="en-AU" sz="1100" baseline="0"/>
              <a:t> 2 1/2 in face spur gear table martin catelogue</a:t>
            </a:r>
          </a:p>
          <a:p>
            <a:endParaRPr lang="en-AU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9</xdr:col>
      <xdr:colOff>345885</xdr:colOff>
      <xdr:row>18</xdr:row>
      <xdr:rowOff>57626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06479F-75AC-03DD-3114-D4AF3DEA4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76200"/>
          <a:ext cx="6658904" cy="3410426"/>
        </a:xfrm>
        <a:prstGeom prst="rect">
          <a:avLst/>
        </a:prstGeom>
      </xdr:spPr>
    </xdr:pic>
    <xdr:clientData/>
  </xdr:twoCellAnchor>
  <xdr:twoCellAnchor editAs="oneCell">
    <xdr:from>
      <xdr:col>6</xdr:col>
      <xdr:colOff>517769</xdr:colOff>
      <xdr:row>34</xdr:row>
      <xdr:rowOff>122849</xdr:rowOff>
    </xdr:from>
    <xdr:to>
      <xdr:col>16</xdr:col>
      <xdr:colOff>190326</xdr:colOff>
      <xdr:row>52</xdr:row>
      <xdr:rowOff>168378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91CC2C-74AF-4748-8E88-A85D5BF94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37269" y="6599849"/>
          <a:ext cx="5905500" cy="346817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17</xdr:col>
      <xdr:colOff>313621</xdr:colOff>
      <xdr:row>0</xdr:row>
      <xdr:rowOff>0</xdr:rowOff>
    </xdr:from>
    <xdr:to>
      <xdr:col>26</xdr:col>
      <xdr:colOff>263603</xdr:colOff>
      <xdr:row>34</xdr:row>
      <xdr:rowOff>33586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4EBFEE-B313-A66B-DA41-3520AAEC8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68871" y="0"/>
          <a:ext cx="5376058" cy="6507411"/>
        </a:xfrm>
        <a:prstGeom prst="rect">
          <a:avLst/>
        </a:prstGeom>
      </xdr:spPr>
    </xdr:pic>
    <xdr:clientData/>
  </xdr:twoCellAnchor>
  <xdr:twoCellAnchor editAs="oneCell">
    <xdr:from>
      <xdr:col>17</xdr:col>
      <xdr:colOff>439615</xdr:colOff>
      <xdr:row>34</xdr:row>
      <xdr:rowOff>58643</xdr:rowOff>
    </xdr:from>
    <xdr:to>
      <xdr:col>26</xdr:col>
      <xdr:colOff>536437</xdr:colOff>
      <xdr:row>71</xdr:row>
      <xdr:rowOff>110524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0BB58E7-D308-95A6-D57F-B52B132B3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94865" y="6535643"/>
          <a:ext cx="5526073" cy="7100381"/>
        </a:xfrm>
        <a:prstGeom prst="rect">
          <a:avLst/>
        </a:prstGeom>
      </xdr:spPr>
    </xdr:pic>
    <xdr:clientData/>
  </xdr:twoCellAnchor>
  <xdr:twoCellAnchor editAs="oneCell">
    <xdr:from>
      <xdr:col>3</xdr:col>
      <xdr:colOff>246128</xdr:colOff>
      <xdr:row>73</xdr:row>
      <xdr:rowOff>82737</xdr:rowOff>
    </xdr:from>
    <xdr:to>
      <xdr:col>18</xdr:col>
      <xdr:colOff>68163</xdr:colOff>
      <xdr:row>101</xdr:row>
      <xdr:rowOff>130829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892651-D012-5204-0278-DB0FF8422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70657" y="14261913"/>
          <a:ext cx="9550703" cy="5477156"/>
        </a:xfrm>
        <a:prstGeom prst="rect">
          <a:avLst/>
        </a:prstGeom>
      </xdr:spPr>
    </xdr:pic>
    <xdr:clientData/>
  </xdr:twoCellAnchor>
  <xdr:twoCellAnchor editAs="oneCell">
    <xdr:from>
      <xdr:col>14</xdr:col>
      <xdr:colOff>48374</xdr:colOff>
      <xdr:row>103</xdr:row>
      <xdr:rowOff>48748</xdr:rowOff>
    </xdr:from>
    <xdr:to>
      <xdr:col>24</xdr:col>
      <xdr:colOff>92374</xdr:colOff>
      <xdr:row>132</xdr:row>
      <xdr:rowOff>17403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87AB318-718C-FCA6-9AB4-4C3C53250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11374" y="20054983"/>
          <a:ext cx="6163533" cy="5595129"/>
        </a:xfrm>
        <a:prstGeom prst="rect">
          <a:avLst/>
        </a:prstGeom>
      </xdr:spPr>
    </xdr:pic>
    <xdr:clientData/>
  </xdr:twoCellAnchor>
  <xdr:twoCellAnchor editAs="oneCell">
    <xdr:from>
      <xdr:col>5</xdr:col>
      <xdr:colOff>203760</xdr:colOff>
      <xdr:row>125</xdr:row>
      <xdr:rowOff>100854</xdr:rowOff>
    </xdr:from>
    <xdr:to>
      <xdr:col>12</xdr:col>
      <xdr:colOff>401580</xdr:colOff>
      <xdr:row>141</xdr:row>
      <xdr:rowOff>61634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9F7B188-366E-BE75-C2E0-DE110A675F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1498" b="6913"/>
        <a:stretch>
          <a:fillRect/>
        </a:stretch>
      </xdr:blipFill>
      <xdr:spPr>
        <a:xfrm>
          <a:off x="3453466" y="24380266"/>
          <a:ext cx="4701105" cy="3068544"/>
        </a:xfrm>
        <a:prstGeom prst="rect">
          <a:avLst/>
        </a:prstGeom>
      </xdr:spPr>
    </xdr:pic>
    <xdr:clientData/>
  </xdr:twoCellAnchor>
  <xdr:twoCellAnchor editAs="oneCell">
    <xdr:from>
      <xdr:col>4</xdr:col>
      <xdr:colOff>216645</xdr:colOff>
      <xdr:row>102</xdr:row>
      <xdr:rowOff>120838</xdr:rowOff>
    </xdr:from>
    <xdr:to>
      <xdr:col>12</xdr:col>
      <xdr:colOff>380435</xdr:colOff>
      <xdr:row>124</xdr:row>
      <xdr:rowOff>111723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D3F7E44-A455-28AF-6E3C-0948BA5AE2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65374"/>
        <a:stretch>
          <a:fillRect/>
        </a:stretch>
      </xdr:blipFill>
      <xdr:spPr>
        <a:xfrm>
          <a:off x="2853763" y="19932838"/>
          <a:ext cx="5399485" cy="4254536"/>
        </a:xfrm>
        <a:prstGeom prst="rect">
          <a:avLst/>
        </a:prstGeom>
      </xdr:spPr>
    </xdr:pic>
    <xdr:clientData/>
  </xdr:twoCellAnchor>
  <xdr:twoCellAnchor editAs="oneCell">
    <xdr:from>
      <xdr:col>0</xdr:col>
      <xdr:colOff>193010</xdr:colOff>
      <xdr:row>68</xdr:row>
      <xdr:rowOff>161250</xdr:rowOff>
    </xdr:from>
    <xdr:to>
      <xdr:col>4</xdr:col>
      <xdr:colOff>136232</xdr:colOff>
      <xdr:row>71</xdr:row>
      <xdr:rowOff>16905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E309AD4-F7CC-20AA-CA8E-86C7BE8489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39505" t="84306"/>
        <a:stretch>
          <a:fillRect/>
        </a:stretch>
      </xdr:blipFill>
      <xdr:spPr>
        <a:xfrm>
          <a:off x="193010" y="13264147"/>
          <a:ext cx="2967648" cy="430549"/>
        </a:xfrm>
        <a:prstGeom prst="rect">
          <a:avLst/>
        </a:prstGeom>
      </xdr:spPr>
    </xdr:pic>
    <xdr:clientData/>
  </xdr:twoCellAnchor>
  <xdr:twoCellAnchor editAs="oneCell">
    <xdr:from>
      <xdr:col>0</xdr:col>
      <xdr:colOff>173635</xdr:colOff>
      <xdr:row>171</xdr:row>
      <xdr:rowOff>102053</xdr:rowOff>
    </xdr:from>
    <xdr:to>
      <xdr:col>7</xdr:col>
      <xdr:colOff>337611</xdr:colOff>
      <xdr:row>175</xdr:row>
      <xdr:rowOff>150351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EEDA67E-82CE-5226-9301-DD4FCEFE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3635" y="33149662"/>
          <a:ext cx="5360735" cy="821341"/>
        </a:xfrm>
        <a:prstGeom prst="rect">
          <a:avLst/>
        </a:prstGeom>
      </xdr:spPr>
    </xdr:pic>
    <xdr:clientData/>
  </xdr:twoCellAnchor>
  <xdr:twoCellAnchor editAs="oneCell">
    <xdr:from>
      <xdr:col>0</xdr:col>
      <xdr:colOff>486668</xdr:colOff>
      <xdr:row>199</xdr:row>
      <xdr:rowOff>161707</xdr:rowOff>
    </xdr:from>
    <xdr:to>
      <xdr:col>8</xdr:col>
      <xdr:colOff>158628</xdr:colOff>
      <xdr:row>204</xdr:row>
      <xdr:rowOff>111030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4626CB4-CE02-CE86-A274-D78585C1D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86668" y="38620620"/>
          <a:ext cx="5471126" cy="909277"/>
        </a:xfrm>
        <a:prstGeom prst="rect">
          <a:avLst/>
        </a:prstGeom>
      </xdr:spPr>
    </xdr:pic>
    <xdr:clientData/>
  </xdr:twoCellAnchor>
  <xdr:twoCellAnchor editAs="oneCell">
    <xdr:from>
      <xdr:col>0</xdr:col>
      <xdr:colOff>288788</xdr:colOff>
      <xdr:row>210</xdr:row>
      <xdr:rowOff>158876</xdr:rowOff>
    </xdr:from>
    <xdr:to>
      <xdr:col>8</xdr:col>
      <xdr:colOff>137448</xdr:colOff>
      <xdr:row>215</xdr:row>
      <xdr:rowOff>55346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6445ACB-D2A6-2951-5A2D-CD9C8F4D1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8788" y="40743659"/>
          <a:ext cx="5644651" cy="853249"/>
        </a:xfrm>
        <a:prstGeom prst="rect">
          <a:avLst/>
        </a:prstGeom>
      </xdr:spPr>
    </xdr:pic>
    <xdr:clientData/>
  </xdr:twoCellAnchor>
  <xdr:twoCellAnchor editAs="oneCell">
    <xdr:from>
      <xdr:col>0</xdr:col>
      <xdr:colOff>143669</xdr:colOff>
      <xdr:row>156</xdr:row>
      <xdr:rowOff>96105</xdr:rowOff>
    </xdr:from>
    <xdr:to>
      <xdr:col>7</xdr:col>
      <xdr:colOff>82701</xdr:colOff>
      <xdr:row>161</xdr:row>
      <xdr:rowOff>92563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161523F-5AD2-4E9C-C139-1875F0C4A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3669" y="29814105"/>
          <a:ext cx="5153531" cy="939433"/>
        </a:xfrm>
        <a:prstGeom prst="rect">
          <a:avLst/>
        </a:prstGeom>
      </xdr:spPr>
    </xdr:pic>
    <xdr:clientData/>
  </xdr:twoCellAnchor>
  <xdr:twoCellAnchor editAs="oneCell">
    <xdr:from>
      <xdr:col>10</xdr:col>
      <xdr:colOff>281608</xdr:colOff>
      <xdr:row>166</xdr:row>
      <xdr:rowOff>25262</xdr:rowOff>
    </xdr:from>
    <xdr:to>
      <xdr:col>18</xdr:col>
      <xdr:colOff>357395</xdr:colOff>
      <xdr:row>183</xdr:row>
      <xdr:rowOff>111470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60ABA84-1128-8518-3DA0-4AB608923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742043" y="32106566"/>
          <a:ext cx="4928567" cy="3365293"/>
        </a:xfrm>
        <a:prstGeom prst="rect">
          <a:avLst/>
        </a:prstGeom>
      </xdr:spPr>
    </xdr:pic>
    <xdr:clientData/>
  </xdr:twoCellAnchor>
  <xdr:twoCellAnchor editAs="oneCell">
    <xdr:from>
      <xdr:col>0</xdr:col>
      <xdr:colOff>55217</xdr:colOff>
      <xdr:row>182</xdr:row>
      <xdr:rowOff>104222</xdr:rowOff>
    </xdr:from>
    <xdr:to>
      <xdr:col>6</xdr:col>
      <xdr:colOff>233065</xdr:colOff>
      <xdr:row>184</xdr:row>
      <xdr:rowOff>35239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6EF5C2A-0317-3D18-20B3-48789F433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5217" y="35277700"/>
          <a:ext cx="4560957" cy="311189"/>
        </a:xfrm>
        <a:prstGeom prst="rect">
          <a:avLst/>
        </a:prstGeom>
      </xdr:spPr>
    </xdr:pic>
    <xdr:clientData/>
  </xdr:twoCellAnchor>
  <xdr:twoCellAnchor editAs="oneCell">
    <xdr:from>
      <xdr:col>10</xdr:col>
      <xdr:colOff>74959</xdr:colOff>
      <xdr:row>184</xdr:row>
      <xdr:rowOff>104406</xdr:rowOff>
    </xdr:from>
    <xdr:to>
      <xdr:col>18</xdr:col>
      <xdr:colOff>397837</xdr:colOff>
      <xdr:row>199</xdr:row>
      <xdr:rowOff>33629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69F0615-A243-072A-01FD-8EDDE1B46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535394" y="35664406"/>
          <a:ext cx="5178833" cy="2821786"/>
        </a:xfrm>
        <a:prstGeom prst="rect">
          <a:avLst/>
        </a:prstGeom>
      </xdr:spPr>
    </xdr:pic>
    <xdr:clientData/>
  </xdr:twoCellAnchor>
  <xdr:twoCellAnchor editAs="oneCell">
    <xdr:from>
      <xdr:col>0</xdr:col>
      <xdr:colOff>261715</xdr:colOff>
      <xdr:row>223</xdr:row>
      <xdr:rowOff>57229</xdr:rowOff>
    </xdr:from>
    <xdr:to>
      <xdr:col>7</xdr:col>
      <xdr:colOff>101360</xdr:colOff>
      <xdr:row>265</xdr:row>
      <xdr:rowOff>58805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A834D6C-F6CE-3837-0DCB-D02395BE3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15" y="42538729"/>
          <a:ext cx="5027693" cy="8002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211512</xdr:colOff>
      <xdr:row>268</xdr:row>
      <xdr:rowOff>46745</xdr:rowOff>
    </xdr:from>
    <xdr:to>
      <xdr:col>7</xdr:col>
      <xdr:colOff>61255</xdr:colOff>
      <xdr:row>310</xdr:row>
      <xdr:rowOff>76965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7A0301D-15D7-B348-BE71-6758D5BB8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12" y="51100745"/>
          <a:ext cx="5031441" cy="8031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142877</xdr:colOff>
      <xdr:row>312</xdr:row>
      <xdr:rowOff>14655</xdr:rowOff>
    </xdr:from>
    <xdr:to>
      <xdr:col>7</xdr:col>
      <xdr:colOff>3734</xdr:colOff>
      <xdr:row>352</xdr:row>
      <xdr:rowOff>3114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BA48405-D74B-B9AF-ECCF-CAEB821D1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7" y="59450655"/>
          <a:ext cx="5048249" cy="759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181182</xdr:colOff>
      <xdr:row>353</xdr:row>
      <xdr:rowOff>59173</xdr:rowOff>
    </xdr:from>
    <xdr:to>
      <xdr:col>7</xdr:col>
      <xdr:colOff>6463</xdr:colOff>
      <xdr:row>394</xdr:row>
      <xdr:rowOff>36143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4897783-1667-CC69-0E1D-DA5716B29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182" y="67305673"/>
          <a:ext cx="5058883" cy="7781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306457</xdr:colOff>
      <xdr:row>407</xdr:row>
      <xdr:rowOff>82826</xdr:rowOff>
    </xdr:from>
    <xdr:to>
      <xdr:col>4</xdr:col>
      <xdr:colOff>363698</xdr:colOff>
      <xdr:row>414</xdr:row>
      <xdr:rowOff>152596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7ACAA67-C160-CFD9-2564-5ABD15005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06457" y="77616326"/>
          <a:ext cx="3122543" cy="1403270"/>
        </a:xfrm>
        <a:prstGeom prst="rect">
          <a:avLst/>
        </a:prstGeom>
      </xdr:spPr>
    </xdr:pic>
    <xdr:clientData/>
  </xdr:twoCellAnchor>
  <xdr:twoCellAnchor editAs="oneCell">
    <xdr:from>
      <xdr:col>5</xdr:col>
      <xdr:colOff>502316</xdr:colOff>
      <xdr:row>432</xdr:row>
      <xdr:rowOff>70948</xdr:rowOff>
    </xdr:from>
    <xdr:to>
      <xdr:col>10</xdr:col>
      <xdr:colOff>445089</xdr:colOff>
      <xdr:row>436</xdr:row>
      <xdr:rowOff>51610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55448CE-84B8-B236-7844-94356879C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56287" y="82366948"/>
          <a:ext cx="3170067" cy="742662"/>
        </a:xfrm>
        <a:prstGeom prst="rect">
          <a:avLst/>
        </a:prstGeom>
      </xdr:spPr>
    </xdr:pic>
    <xdr:clientData/>
  </xdr:twoCellAnchor>
  <xdr:twoCellAnchor editAs="oneCell">
    <xdr:from>
      <xdr:col>0</xdr:col>
      <xdr:colOff>323021</xdr:colOff>
      <xdr:row>439</xdr:row>
      <xdr:rowOff>157369</xdr:rowOff>
    </xdr:from>
    <xdr:to>
      <xdr:col>4</xdr:col>
      <xdr:colOff>652152</xdr:colOff>
      <xdr:row>446</xdr:row>
      <xdr:rowOff>36009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FF9980B2-69A9-6B6A-7A9E-9154D8BF8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23021" y="83786869"/>
          <a:ext cx="3387587" cy="1202615"/>
        </a:xfrm>
        <a:prstGeom prst="rect">
          <a:avLst/>
        </a:prstGeom>
      </xdr:spPr>
    </xdr:pic>
    <xdr:clientData/>
  </xdr:twoCellAnchor>
  <xdr:twoCellAnchor editAs="oneCell">
    <xdr:from>
      <xdr:col>1</xdr:col>
      <xdr:colOff>422413</xdr:colOff>
      <xdr:row>447</xdr:row>
      <xdr:rowOff>91109</xdr:rowOff>
    </xdr:from>
    <xdr:to>
      <xdr:col>2</xdr:col>
      <xdr:colOff>282896</xdr:colOff>
      <xdr:row>451</xdr:row>
      <xdr:rowOff>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7A59E91-CDC3-A028-DA0D-2A838B6D2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225826" y="85244609"/>
          <a:ext cx="658312" cy="670891"/>
        </a:xfrm>
        <a:prstGeom prst="rect">
          <a:avLst/>
        </a:prstGeom>
      </xdr:spPr>
    </xdr:pic>
    <xdr:clientData/>
  </xdr:twoCellAnchor>
  <xdr:twoCellAnchor editAs="oneCell">
    <xdr:from>
      <xdr:col>1</xdr:col>
      <xdr:colOff>521805</xdr:colOff>
      <xdr:row>452</xdr:row>
      <xdr:rowOff>165652</xdr:rowOff>
    </xdr:from>
    <xdr:to>
      <xdr:col>2</xdr:col>
      <xdr:colOff>442017</xdr:colOff>
      <xdr:row>456</xdr:row>
      <xdr:rowOff>115957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2239F49-45F4-0AE8-64C2-11C4322E8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325218" y="86271652"/>
          <a:ext cx="725256" cy="712305"/>
        </a:xfrm>
        <a:prstGeom prst="rect">
          <a:avLst/>
        </a:prstGeom>
      </xdr:spPr>
    </xdr:pic>
    <xdr:clientData/>
  </xdr:twoCellAnchor>
  <xdr:twoCellAnchor editAs="oneCell">
    <xdr:from>
      <xdr:col>1</xdr:col>
      <xdr:colOff>588065</xdr:colOff>
      <xdr:row>458</xdr:row>
      <xdr:rowOff>49697</xdr:rowOff>
    </xdr:from>
    <xdr:to>
      <xdr:col>2</xdr:col>
      <xdr:colOff>462195</xdr:colOff>
      <xdr:row>462</xdr:row>
      <xdr:rowOff>118309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CEE650FD-B8FF-66A3-7370-B29AD4C75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391478" y="87298697"/>
          <a:ext cx="679174" cy="83061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464</xdr:row>
      <xdr:rowOff>149087</xdr:rowOff>
    </xdr:from>
    <xdr:to>
      <xdr:col>2</xdr:col>
      <xdr:colOff>476274</xdr:colOff>
      <xdr:row>467</xdr:row>
      <xdr:rowOff>98314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374667A8-D08B-6198-2DC8-08B47826D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416326" y="88541087"/>
          <a:ext cx="476274" cy="520727"/>
        </a:xfrm>
        <a:prstGeom prst="rect">
          <a:avLst/>
        </a:prstGeom>
      </xdr:spPr>
    </xdr:pic>
    <xdr:clientData/>
  </xdr:twoCellAnchor>
  <xdr:twoCellAnchor editAs="oneCell">
    <xdr:from>
      <xdr:col>3</xdr:col>
      <xdr:colOff>298173</xdr:colOff>
      <xdr:row>501</xdr:row>
      <xdr:rowOff>99391</xdr:rowOff>
    </xdr:from>
    <xdr:to>
      <xdr:col>8</xdr:col>
      <xdr:colOff>262232</xdr:colOff>
      <xdr:row>505</xdr:row>
      <xdr:rowOff>131181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C3672830-1123-C8DF-19CC-D57DCF1F6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27412" y="95539891"/>
          <a:ext cx="3568883" cy="78744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507</xdr:row>
      <xdr:rowOff>9579</xdr:rowOff>
    </xdr:from>
    <xdr:to>
      <xdr:col>11</xdr:col>
      <xdr:colOff>582410</xdr:colOff>
      <xdr:row>533</xdr:row>
      <xdr:rowOff>130141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957151C-177D-EDFB-7788-20F6FFBD3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5400000">
          <a:off x="1844719" y="95281760"/>
          <a:ext cx="5073562" cy="7696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9526</xdr:rowOff>
    </xdr:from>
    <xdr:to>
      <xdr:col>11</xdr:col>
      <xdr:colOff>381000</xdr:colOff>
      <xdr:row>8</xdr:row>
      <xdr:rowOff>150095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E8715A-07F2-71D3-15E5-4C12A7813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200026"/>
          <a:ext cx="7153275" cy="1474069"/>
        </a:xfrm>
        <a:prstGeom prst="rect">
          <a:avLst/>
        </a:prstGeom>
      </xdr:spPr>
    </xdr:pic>
    <xdr:clientData/>
  </xdr:twoCellAnchor>
  <xdr:twoCellAnchor editAs="oneCell">
    <xdr:from>
      <xdr:col>13</xdr:col>
      <xdr:colOff>152399</xdr:colOff>
      <xdr:row>1</xdr:row>
      <xdr:rowOff>31453</xdr:rowOff>
    </xdr:from>
    <xdr:to>
      <xdr:col>25</xdr:col>
      <xdr:colOff>73024</xdr:colOff>
      <xdr:row>26</xdr:row>
      <xdr:rowOff>34836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190A97-B04D-4AF8-B43B-F6B590420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9308995" y="-1009843"/>
          <a:ext cx="4765883" cy="7229475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600075</xdr:colOff>
      <xdr:row>27</xdr:row>
      <xdr:rowOff>118434</xdr:rowOff>
    </xdr:from>
    <xdr:to>
      <xdr:col>19</xdr:col>
      <xdr:colOff>357406</xdr:colOff>
      <xdr:row>41</xdr:row>
      <xdr:rowOff>36980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F6B645C-2A3F-497C-89FD-9D84AAC763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1498" b="6913"/>
        <a:stretch>
          <a:fillRect/>
        </a:stretch>
      </xdr:blipFill>
      <xdr:spPr>
        <a:xfrm>
          <a:off x="7915275" y="5261934"/>
          <a:ext cx="4015006" cy="2585546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42</xdr:row>
      <xdr:rowOff>157900</xdr:rowOff>
    </xdr:from>
    <xdr:to>
      <xdr:col>26</xdr:col>
      <xdr:colOff>130724</xdr:colOff>
      <xdr:row>63</xdr:row>
      <xdr:rowOff>95513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83CEACB-2F22-24FF-581D-725BAF4A4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91450" y="8158900"/>
          <a:ext cx="8182524" cy="3938113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65</xdr:row>
      <xdr:rowOff>56965</xdr:rowOff>
    </xdr:from>
    <xdr:to>
      <xdr:col>5</xdr:col>
      <xdr:colOff>568476</xdr:colOff>
      <xdr:row>73</xdr:row>
      <xdr:rowOff>3615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ED8B16-F04D-19E5-8695-74B58561C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24050" y="12439465"/>
          <a:ext cx="2082951" cy="145761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103</xdr:row>
      <xdr:rowOff>180975</xdr:rowOff>
    </xdr:from>
    <xdr:to>
      <xdr:col>10</xdr:col>
      <xdr:colOff>549591</xdr:colOff>
      <xdr:row>126</xdr:row>
      <xdr:rowOff>111347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29015F6-955C-8AC0-B0A1-FD409ED5B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6300" y="19802475"/>
          <a:ext cx="6153466" cy="431187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129</xdr:row>
      <xdr:rowOff>20600</xdr:rowOff>
    </xdr:from>
    <xdr:to>
      <xdr:col>12</xdr:col>
      <xdr:colOff>302088</xdr:colOff>
      <xdr:row>148</xdr:row>
      <xdr:rowOff>57388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928B794-5A8E-87B3-090A-3C68B7212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6300" y="24595100"/>
          <a:ext cx="7121988" cy="36562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172486</xdr:colOff>
      <xdr:row>14</xdr:row>
      <xdr:rowOff>109537</xdr:rowOff>
    </xdr:from>
    <xdr:to>
      <xdr:col>16</xdr:col>
      <xdr:colOff>36424</xdr:colOff>
      <xdr:row>38</xdr:row>
      <xdr:rowOff>166925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01AA37-7C0D-7C22-B136-DBE3CB722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399" y="2776537"/>
          <a:ext cx="9057634" cy="4629388"/>
        </a:xfrm>
        <a:prstGeom prst="rect">
          <a:avLst/>
        </a:prstGeom>
        <a:ln w="57150">
          <a:solidFill>
            <a:srgbClr val="FF0000"/>
          </a:solidFill>
        </a:ln>
      </xdr:spPr>
    </xdr:pic>
    <xdr:clientData/>
  </xdr:twoCellAnchor>
  <xdr:twoCellAnchor editAs="oneCell">
    <xdr:from>
      <xdr:col>1</xdr:col>
      <xdr:colOff>481013</xdr:colOff>
      <xdr:row>40</xdr:row>
      <xdr:rowOff>100011</xdr:rowOff>
    </xdr:from>
    <xdr:to>
      <xdr:col>14</xdr:col>
      <xdr:colOff>70030</xdr:colOff>
      <xdr:row>68</xdr:row>
      <xdr:rowOff>36511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89024D-F5BD-482A-A3D6-AA5014348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38" y="7720011"/>
          <a:ext cx="7631292" cy="5267325"/>
        </a:xfrm>
        <a:prstGeom prst="rect">
          <a:avLst/>
        </a:prstGeom>
        <a:ln w="57150">
          <a:solidFill>
            <a:srgbClr val="FF0000"/>
          </a:solidFill>
        </a:ln>
      </xdr:spPr>
    </xdr:pic>
    <xdr:clientData/>
  </xdr:twoCellAnchor>
  <xdr:twoCellAnchor editAs="oneCell">
    <xdr:from>
      <xdr:col>18</xdr:col>
      <xdr:colOff>68035</xdr:colOff>
      <xdr:row>15</xdr:row>
      <xdr:rowOff>0</xdr:rowOff>
    </xdr:from>
    <xdr:to>
      <xdr:col>33</xdr:col>
      <xdr:colOff>53085</xdr:colOff>
      <xdr:row>37</xdr:row>
      <xdr:rowOff>146273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CAB20F-5297-F45B-8278-B44B9AEFF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89821" y="2939143"/>
          <a:ext cx="9169871" cy="4330923"/>
        </a:xfrm>
        <a:prstGeom prst="rect">
          <a:avLst/>
        </a:prstGeom>
        <a:ln w="57150">
          <a:solidFill>
            <a:schemeClr val="tx2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18</xdr:col>
      <xdr:colOff>476248</xdr:colOff>
      <xdr:row>39</xdr:row>
      <xdr:rowOff>122465</xdr:rowOff>
    </xdr:from>
    <xdr:to>
      <xdr:col>32</xdr:col>
      <xdr:colOff>128401</xdr:colOff>
      <xdr:row>70</xdr:row>
      <xdr:rowOff>40821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B78CF2-9522-ECB5-D20C-141747EFC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98034" y="7633608"/>
          <a:ext cx="8218303" cy="5823856"/>
        </a:xfrm>
        <a:prstGeom prst="rect">
          <a:avLst/>
        </a:prstGeom>
        <a:ln w="57150">
          <a:solidFill>
            <a:schemeClr val="tx2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34</xdr:col>
      <xdr:colOff>120424</xdr:colOff>
      <xdr:row>14</xdr:row>
      <xdr:rowOff>134029</xdr:rowOff>
    </xdr:from>
    <xdr:to>
      <xdr:col>50</xdr:col>
      <xdr:colOff>277871</xdr:colOff>
      <xdr:row>40</xdr:row>
      <xdr:rowOff>39029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D18FDF8-BA54-108E-C2E8-3B4B2FE19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170674" y="2848654"/>
          <a:ext cx="10057097" cy="4858000"/>
        </a:xfrm>
        <a:prstGeom prst="rect">
          <a:avLst/>
        </a:prstGeom>
        <a:ln w="57150">
          <a:solidFill>
            <a:schemeClr val="accent6"/>
          </a:solidFill>
        </a:ln>
      </xdr:spPr>
    </xdr:pic>
    <xdr:clientData/>
  </xdr:twoCellAnchor>
  <xdr:twoCellAnchor editAs="oneCell">
    <xdr:from>
      <xdr:col>35</xdr:col>
      <xdr:colOff>449717</xdr:colOff>
      <xdr:row>42</xdr:row>
      <xdr:rowOff>38782</xdr:rowOff>
    </xdr:from>
    <xdr:to>
      <xdr:col>48</xdr:col>
      <xdr:colOff>469672</xdr:colOff>
      <xdr:row>75</xdr:row>
      <xdr:rowOff>58604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348F139-836B-E8D8-AA29-0C083F19E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880967" y="8121425"/>
          <a:ext cx="7973784" cy="6306322"/>
        </a:xfrm>
        <a:prstGeom prst="rect">
          <a:avLst/>
        </a:prstGeom>
        <a:ln w="57150">
          <a:solidFill>
            <a:schemeClr val="accent6"/>
          </a:solidFill>
        </a:ln>
      </xdr:spPr>
    </xdr:pic>
    <xdr:clientData/>
  </xdr:twoCellAnchor>
  <xdr:twoCellAnchor editAs="oneCell">
    <xdr:from>
      <xdr:col>3</xdr:col>
      <xdr:colOff>158750</xdr:colOff>
      <xdr:row>81</xdr:row>
      <xdr:rowOff>16783</xdr:rowOff>
    </xdr:from>
    <xdr:to>
      <xdr:col>19</xdr:col>
      <xdr:colOff>404677</xdr:colOff>
      <xdr:row>110</xdr:row>
      <xdr:rowOff>138220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A726639-9803-7FA4-354A-5514C7761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73250" y="15447283"/>
          <a:ext cx="9389927" cy="5645937"/>
        </a:xfrm>
        <a:prstGeom prst="rect">
          <a:avLst/>
        </a:prstGeom>
      </xdr:spPr>
    </xdr:pic>
    <xdr:clientData/>
  </xdr:twoCellAnchor>
  <xdr:twoCellAnchor editAs="oneCell">
    <xdr:from>
      <xdr:col>24</xdr:col>
      <xdr:colOff>167822</xdr:colOff>
      <xdr:row>78</xdr:row>
      <xdr:rowOff>131536</xdr:rowOff>
    </xdr:from>
    <xdr:to>
      <xdr:col>43</xdr:col>
      <xdr:colOff>159453</xdr:colOff>
      <xdr:row>111</xdr:row>
      <xdr:rowOff>68904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D687791-9ECF-47BB-EDB2-1101E6BC3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83822" y="14990536"/>
          <a:ext cx="10850131" cy="6223868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118</xdr:row>
      <xdr:rowOff>95249</xdr:rowOff>
    </xdr:from>
    <xdr:to>
      <xdr:col>69</xdr:col>
      <xdr:colOff>190500</xdr:colOff>
      <xdr:row>273</xdr:row>
      <xdr:rowOff>57012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60D4A98-12D8-864A-7AEA-E87D8DD14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22574249"/>
          <a:ext cx="38195250" cy="29489263"/>
        </a:xfrm>
        <a:prstGeom prst="rect">
          <a:avLst/>
        </a:prstGeom>
      </xdr:spPr>
    </xdr:pic>
    <xdr:clientData/>
  </xdr:twoCellAnchor>
  <xdr:twoCellAnchor>
    <xdr:from>
      <xdr:col>58</xdr:col>
      <xdr:colOff>140804</xdr:colOff>
      <xdr:row>164</xdr:row>
      <xdr:rowOff>173935</xdr:rowOff>
    </xdr:from>
    <xdr:to>
      <xdr:col>62</xdr:col>
      <xdr:colOff>554934</xdr:colOff>
      <xdr:row>179</xdr:row>
      <xdr:rowOff>33130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26C6C6A-C815-B01F-15B6-3E569DD0D0B3}"/>
            </a:ext>
          </a:extLst>
        </xdr:cNvPr>
        <xdr:cNvSpPr/>
      </xdr:nvSpPr>
      <xdr:spPr>
        <a:xfrm>
          <a:off x="35689761" y="31482196"/>
          <a:ext cx="2865782" cy="2716695"/>
        </a:xfrm>
        <a:prstGeom prst="ellipse">
          <a:avLst/>
        </a:prstGeom>
        <a:noFill/>
        <a:ln w="76200">
          <a:solidFill>
            <a:srgbClr val="EE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AU"/>
        </a:p>
      </xdr:txBody>
    </xdr:sp>
    <xdr:clientData/>
  </xdr:twoCellAnchor>
  <xdr:twoCellAnchor>
    <xdr:from>
      <xdr:col>70</xdr:col>
      <xdr:colOff>433182</xdr:colOff>
      <xdr:row>165</xdr:row>
      <xdr:rowOff>155575</xdr:rowOff>
    </xdr:from>
    <xdr:to>
      <xdr:col>85</xdr:col>
      <xdr:colOff>285750</xdr:colOff>
      <xdr:row>188</xdr:row>
      <xdr:rowOff>151748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A515C3CA-EC64-A04A-7505-21695DB71BDA}"/>
            </a:ext>
          </a:extLst>
        </xdr:cNvPr>
        <xdr:cNvSpPr txBox="1">
          <a:spLocks noChangeArrowheads="1"/>
        </xdr:cNvSpPr>
      </xdr:nvSpPr>
      <xdr:spPr bwMode="auto">
        <a:xfrm>
          <a:off x="40438182" y="31588075"/>
          <a:ext cx="8425068" cy="4377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lnSpc>
              <a:spcPct val="115000"/>
            </a:lnSpc>
            <a:spcBef>
              <a:spcPts val="500"/>
            </a:spcBef>
            <a:spcAft>
              <a:spcPts val="1000"/>
            </a:spcAft>
          </a:pPr>
          <a:r>
            <a:rPr lang="en-AU" sz="4000" b="1">
              <a:solidFill>
                <a:srgbClr val="EE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Note:</a:t>
          </a:r>
          <a:r>
            <a:rPr lang="en-AU" sz="4000">
              <a:solidFill>
                <a:srgbClr val="EE0000"/>
              </a:solidFill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AU" sz="4000"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There are </a:t>
          </a:r>
          <a:r>
            <a:rPr lang="en-AU" sz="4000" b="1"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clearance issues</a:t>
          </a:r>
          <a:r>
            <a:rPr lang="en-AU" sz="4000"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with gear 3 and the output shaft. This can easily be fixed by selecting one of the other gear pairs of a larger diameter for gear 4 and 5. Refer to Part d).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rcy Hodge" id="{888678E3-A7B9-4D1A-B84A-88AC45E99EDD}" userId="S::Darcy.T.Hodge@student.uts.edu.au::6a496cb0-e8e1-416e-9c5e-52ed1e24c3e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6" dT="2025-05-24T07:30:43.42" personId="{888678E3-A7B9-4D1A-B84A-88AC45E99EDD}" id="{58DBD2CA-B9FF-4F1E-804B-58F79409536B}">
    <text xml:space="preserve">First impression is that it will be hard to reduce the speed if the pinion gear is already 144 teeth. </text>
  </threadedComment>
  <threadedComment ref="D94" dT="2025-05-24T07:38:38.78" personId="{888678E3-A7B9-4D1A-B84A-88AC45E99EDD}" id="{64BB844B-824A-43E5-94C6-879081855F75}">
    <text>Perfect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83747-F611-4B6F-9B3F-3DC9190AFEB2}">
  <dimension ref="A1:I71"/>
  <sheetViews>
    <sheetView topLeftCell="A46" zoomScale="85" zoomScaleNormal="85" workbookViewId="0">
      <selection activeCell="A48" sqref="A48:B50"/>
    </sheetView>
  </sheetViews>
  <sheetFormatPr defaultColWidth="18.28515625" defaultRowHeight="15" x14ac:dyDescent="0.25"/>
  <sheetData>
    <row r="1" spans="1:5" x14ac:dyDescent="0.25">
      <c r="A1" t="s">
        <v>0</v>
      </c>
    </row>
    <row r="2" spans="1:5" x14ac:dyDescent="0.25">
      <c r="E2" s="1" t="s">
        <v>1</v>
      </c>
    </row>
    <row r="3" spans="1:5" x14ac:dyDescent="0.25">
      <c r="A3">
        <v>3400</v>
      </c>
      <c r="B3" t="s">
        <v>7</v>
      </c>
      <c r="E3" s="2" t="s">
        <v>17</v>
      </c>
    </row>
    <row r="4" spans="1:5" x14ac:dyDescent="0.25">
      <c r="A4">
        <v>80</v>
      </c>
      <c r="B4" t="s">
        <v>8</v>
      </c>
      <c r="E4" s="3" t="s">
        <v>2</v>
      </c>
    </row>
    <row r="5" spans="1:5" x14ac:dyDescent="0.25">
      <c r="A5">
        <v>0.95</v>
      </c>
      <c r="B5" t="s">
        <v>9</v>
      </c>
      <c r="E5" s="3" t="s">
        <v>4</v>
      </c>
    </row>
    <row r="6" spans="1:5" x14ac:dyDescent="0.25">
      <c r="A6">
        <v>0.98</v>
      </c>
      <c r="B6" t="s">
        <v>10</v>
      </c>
      <c r="E6" s="3" t="s">
        <v>3</v>
      </c>
    </row>
    <row r="7" spans="1:5" x14ac:dyDescent="0.25">
      <c r="A7" s="7" t="s">
        <v>15</v>
      </c>
      <c r="B7" t="s">
        <v>16</v>
      </c>
    </row>
    <row r="8" spans="1:5" x14ac:dyDescent="0.25">
      <c r="E8" s="3" t="s">
        <v>5</v>
      </c>
    </row>
    <row r="9" spans="1:5" x14ac:dyDescent="0.25">
      <c r="A9" s="5"/>
      <c r="E9" s="3" t="s">
        <v>6</v>
      </c>
    </row>
    <row r="10" spans="1:5" x14ac:dyDescent="0.25">
      <c r="A10" s="5"/>
    </row>
    <row r="11" spans="1:5" x14ac:dyDescent="0.25">
      <c r="E11" s="4" t="s">
        <v>11</v>
      </c>
    </row>
    <row r="12" spans="1:5" x14ac:dyDescent="0.25">
      <c r="B12" s="5"/>
      <c r="E12" s="4" t="s">
        <v>12</v>
      </c>
    </row>
    <row r="13" spans="1:5" x14ac:dyDescent="0.25">
      <c r="E13" t="s">
        <v>13</v>
      </c>
    </row>
    <row r="14" spans="1:5" x14ac:dyDescent="0.25">
      <c r="A14" s="6"/>
      <c r="E14" t="s">
        <v>14</v>
      </c>
    </row>
    <row r="17" spans="1:6" x14ac:dyDescent="0.25">
      <c r="D17">
        <v>1</v>
      </c>
      <c r="E17" s="2" t="s">
        <v>17</v>
      </c>
    </row>
    <row r="18" spans="1:6" x14ac:dyDescent="0.25">
      <c r="A18" t="s">
        <v>18</v>
      </c>
      <c r="B18" t="s">
        <v>19</v>
      </c>
      <c r="E18" s="1" t="s">
        <v>1</v>
      </c>
    </row>
    <row r="19" spans="1:6" x14ac:dyDescent="0.25">
      <c r="B19" t="s">
        <v>20</v>
      </c>
      <c r="E19" s="1"/>
    </row>
    <row r="20" spans="1:6" x14ac:dyDescent="0.25">
      <c r="B20" t="s">
        <v>21</v>
      </c>
      <c r="D20">
        <v>2</v>
      </c>
      <c r="E20" t="s">
        <v>18</v>
      </c>
      <c r="F20" t="s">
        <v>19</v>
      </c>
    </row>
    <row r="21" spans="1:6" x14ac:dyDescent="0.25">
      <c r="B21" t="s">
        <v>33</v>
      </c>
      <c r="F21" t="s">
        <v>20</v>
      </c>
    </row>
    <row r="22" spans="1:6" x14ac:dyDescent="0.25">
      <c r="F22" t="s">
        <v>21</v>
      </c>
    </row>
    <row r="23" spans="1:6" x14ac:dyDescent="0.25">
      <c r="A23" s="5" t="s">
        <v>35</v>
      </c>
      <c r="F23" t="s">
        <v>33</v>
      </c>
    </row>
    <row r="24" spans="1:6" x14ac:dyDescent="0.25">
      <c r="A24" s="5" t="s">
        <v>32</v>
      </c>
    </row>
    <row r="25" spans="1:6" x14ac:dyDescent="0.25">
      <c r="A25">
        <f>80*(2*PI())/60</f>
        <v>8.3775804095727811</v>
      </c>
      <c r="B25" t="s">
        <v>34</v>
      </c>
      <c r="D25">
        <v>3</v>
      </c>
      <c r="E25" s="5" t="s">
        <v>35</v>
      </c>
    </row>
    <row r="26" spans="1:6" x14ac:dyDescent="0.25">
      <c r="E26" s="5" t="s">
        <v>32</v>
      </c>
    </row>
    <row r="27" spans="1:6" x14ac:dyDescent="0.25">
      <c r="A27" t="s">
        <v>22</v>
      </c>
    </row>
    <row r="28" spans="1:6" x14ac:dyDescent="0.25">
      <c r="A28">
        <v>3400</v>
      </c>
      <c r="B28" s="5" t="s">
        <v>23</v>
      </c>
      <c r="D28">
        <v>4</v>
      </c>
      <c r="E28" t="s">
        <v>366</v>
      </c>
    </row>
    <row r="29" spans="1:6" x14ac:dyDescent="0.25">
      <c r="A29">
        <f>A25</f>
        <v>8.3775804095727811</v>
      </c>
      <c r="B29" s="5" t="s">
        <v>416</v>
      </c>
      <c r="C29" s="5"/>
      <c r="D29" s="5"/>
      <c r="E29">
        <v>0.95</v>
      </c>
      <c r="F29" t="s">
        <v>9</v>
      </c>
    </row>
    <row r="30" spans="1:6" x14ac:dyDescent="0.25">
      <c r="D30" s="5"/>
      <c r="E30">
        <v>0.98</v>
      </c>
      <c r="F30" t="s">
        <v>10</v>
      </c>
    </row>
    <row r="32" spans="1:6" x14ac:dyDescent="0.25">
      <c r="A32" t="s">
        <v>25</v>
      </c>
      <c r="E32" s="5" t="s">
        <v>417</v>
      </c>
      <c r="F32" s="5" t="s">
        <v>418</v>
      </c>
    </row>
    <row r="33" spans="1:2" x14ac:dyDescent="0.25">
      <c r="A33">
        <f>A28*E56</f>
        <v>29907.962062174829</v>
      </c>
      <c r="B33" s="5" t="s">
        <v>27</v>
      </c>
    </row>
    <row r="34" spans="1:2" x14ac:dyDescent="0.25">
      <c r="A34">
        <f>A28*A29</f>
        <v>28483.773392547457</v>
      </c>
      <c r="B34" s="5" t="s">
        <v>26</v>
      </c>
    </row>
    <row r="35" spans="1:2" x14ac:dyDescent="0.25">
      <c r="A35">
        <f>A28*E57</f>
        <v>27059.584722920084</v>
      </c>
      <c r="B35" s="5" t="s">
        <v>28</v>
      </c>
    </row>
    <row r="37" spans="1:2" x14ac:dyDescent="0.25">
      <c r="A37" t="s">
        <v>366</v>
      </c>
    </row>
    <row r="38" spans="1:2" x14ac:dyDescent="0.25">
      <c r="A38">
        <v>0.95</v>
      </c>
      <c r="B38" t="s">
        <v>9</v>
      </c>
    </row>
    <row r="39" spans="1:2" x14ac:dyDescent="0.25">
      <c r="A39">
        <v>0.98</v>
      </c>
      <c r="B39" t="s">
        <v>10</v>
      </c>
    </row>
    <row r="41" spans="1:2" x14ac:dyDescent="0.25">
      <c r="A41" s="5"/>
    </row>
    <row r="42" spans="1:2" x14ac:dyDescent="0.25">
      <c r="A42" s="5"/>
    </row>
    <row r="44" spans="1:2" x14ac:dyDescent="0.25">
      <c r="A44">
        <f>(A33/($A$39*$A$38))</f>
        <v>32124.556457760293</v>
      </c>
      <c r="B44" t="s">
        <v>29</v>
      </c>
    </row>
    <row r="45" spans="1:2" x14ac:dyDescent="0.25">
      <c r="A45">
        <f t="shared" ref="A45:A46" si="0">(A34/($A$39*$A$38))</f>
        <v>30594.81567405742</v>
      </c>
    </row>
    <row r="46" spans="1:2" x14ac:dyDescent="0.25">
      <c r="A46">
        <f t="shared" si="0"/>
        <v>29065.07489035455</v>
      </c>
      <c r="B46" t="s">
        <v>30</v>
      </c>
    </row>
    <row r="48" spans="1:2" x14ac:dyDescent="0.25">
      <c r="A48" s="8">
        <f>A44/1000</f>
        <v>32.124556457760292</v>
      </c>
      <c r="B48" s="90" t="s">
        <v>31</v>
      </c>
    </row>
    <row r="49" spans="1:9" x14ac:dyDescent="0.25">
      <c r="A49" s="8">
        <f t="shared" ref="A49:A50" si="1">A45/1000</f>
        <v>30.594815674057418</v>
      </c>
      <c r="B49" s="90"/>
    </row>
    <row r="50" spans="1:9" x14ac:dyDescent="0.25">
      <c r="A50" s="8">
        <f t="shared" si="1"/>
        <v>29.065074890354548</v>
      </c>
      <c r="B50" s="90"/>
    </row>
    <row r="52" spans="1:9" x14ac:dyDescent="0.25">
      <c r="A52" s="6" t="s">
        <v>36</v>
      </c>
    </row>
    <row r="54" spans="1:9" x14ac:dyDescent="0.25">
      <c r="A54" t="s">
        <v>37</v>
      </c>
    </row>
    <row r="56" spans="1:9" x14ac:dyDescent="0.25">
      <c r="A56" s="6" t="s">
        <v>38</v>
      </c>
      <c r="E56" s="9">
        <f>(A29+(A29*0.05))</f>
        <v>8.7964594300514207</v>
      </c>
    </row>
    <row r="57" spans="1:9" x14ac:dyDescent="0.25">
      <c r="E57" s="9">
        <f>(A29-(A29*0.05))</f>
        <v>7.9587013890941423</v>
      </c>
      <c r="I57" s="5"/>
    </row>
    <row r="58" spans="1:9" x14ac:dyDescent="0.25">
      <c r="A58" t="s">
        <v>42</v>
      </c>
    </row>
    <row r="60" spans="1:9" ht="30" x14ac:dyDescent="0.25">
      <c r="A60" s="10">
        <v>1475</v>
      </c>
      <c r="B60" s="10" t="s">
        <v>39</v>
      </c>
    </row>
    <row r="61" spans="1:9" x14ac:dyDescent="0.25">
      <c r="A61" s="10" t="s">
        <v>49</v>
      </c>
      <c r="B61" s="10" t="s">
        <v>40</v>
      </c>
    </row>
    <row r="62" spans="1:9" x14ac:dyDescent="0.25">
      <c r="A62" s="10">
        <v>60</v>
      </c>
      <c r="B62" s="10" t="s">
        <v>41</v>
      </c>
    </row>
    <row r="63" spans="1:9" ht="30" x14ac:dyDescent="0.25">
      <c r="A63" s="10">
        <v>65.400000000000006</v>
      </c>
      <c r="B63" s="10" t="s">
        <v>43</v>
      </c>
    </row>
    <row r="64" spans="1:9" ht="30" x14ac:dyDescent="0.25">
      <c r="A64" s="10">
        <v>91.2</v>
      </c>
      <c r="B64" s="10" t="s">
        <v>44</v>
      </c>
    </row>
    <row r="65" spans="1:2" ht="30" x14ac:dyDescent="0.25">
      <c r="A65" s="10">
        <v>0.85</v>
      </c>
      <c r="B65" s="10" t="s">
        <v>45</v>
      </c>
    </row>
    <row r="66" spans="1:2" ht="30" x14ac:dyDescent="0.25">
      <c r="A66" s="10">
        <v>239.1</v>
      </c>
      <c r="B66" s="10" t="s">
        <v>46</v>
      </c>
    </row>
    <row r="67" spans="1:2" x14ac:dyDescent="0.25">
      <c r="A67" s="10">
        <v>75</v>
      </c>
      <c r="B67" s="10" t="s">
        <v>47</v>
      </c>
    </row>
    <row r="68" spans="1:2" ht="30" x14ac:dyDescent="0.25">
      <c r="A68" s="10">
        <v>315</v>
      </c>
      <c r="B68" s="10" t="s">
        <v>48</v>
      </c>
    </row>
    <row r="71" spans="1:2" x14ac:dyDescent="0.25">
      <c r="A71" s="6"/>
    </row>
  </sheetData>
  <mergeCells count="1">
    <mergeCell ref="B48:B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AC71-F95F-4D5A-8A0D-0AC75B75FE27}">
  <dimension ref="A1:J380"/>
  <sheetViews>
    <sheetView topLeftCell="A251" zoomScale="40" zoomScaleNormal="40" workbookViewId="0">
      <selection activeCell="B388" sqref="B388"/>
    </sheetView>
  </sheetViews>
  <sheetFormatPr defaultRowHeight="15" x14ac:dyDescent="0.25"/>
  <cols>
    <col min="1" max="1" width="12.28515625" customWidth="1"/>
    <col min="2" max="2" width="13.140625" customWidth="1"/>
    <col min="9" max="9" width="10.85546875" customWidth="1"/>
    <col min="10" max="10" width="27.7109375" customWidth="1"/>
  </cols>
  <sheetData>
    <row r="1" spans="1:10" ht="15.75" thickBot="1" x14ac:dyDescent="0.3">
      <c r="A1" s="94" t="s">
        <v>50</v>
      </c>
      <c r="B1" s="94"/>
      <c r="C1" s="94"/>
    </row>
    <row r="2" spans="1:10" x14ac:dyDescent="0.25">
      <c r="I2" s="91" t="s">
        <v>53</v>
      </c>
      <c r="J2" s="11" t="s">
        <v>54</v>
      </c>
    </row>
    <row r="3" spans="1:10" x14ac:dyDescent="0.25">
      <c r="A3" t="s">
        <v>51</v>
      </c>
      <c r="I3" s="92"/>
      <c r="J3" s="12" t="s">
        <v>55</v>
      </c>
    </row>
    <row r="4" spans="1:10" ht="15.75" thickBot="1" x14ac:dyDescent="0.3">
      <c r="I4" s="93"/>
      <c r="J4" s="13" t="s">
        <v>56</v>
      </c>
    </row>
    <row r="5" spans="1:10" x14ac:dyDescent="0.25">
      <c r="A5" t="s">
        <v>52</v>
      </c>
    </row>
    <row r="6" spans="1:10" x14ac:dyDescent="0.25">
      <c r="A6" t="s">
        <v>57</v>
      </c>
    </row>
    <row r="8" spans="1:10" x14ac:dyDescent="0.25">
      <c r="A8">
        <v>1.5</v>
      </c>
      <c r="B8" t="s">
        <v>58</v>
      </c>
    </row>
    <row r="9" spans="1:10" x14ac:dyDescent="0.25">
      <c r="A9">
        <v>37</v>
      </c>
      <c r="B9" t="s">
        <v>31</v>
      </c>
    </row>
    <row r="10" spans="1:10" x14ac:dyDescent="0.25">
      <c r="A10" t="s">
        <v>61</v>
      </c>
    </row>
    <row r="11" spans="1:10" x14ac:dyDescent="0.25">
      <c r="A11" s="9">
        <f>A9*1.34102</f>
        <v>49.617740000000005</v>
      </c>
      <c r="B11" t="s">
        <v>59</v>
      </c>
    </row>
    <row r="13" spans="1:10" x14ac:dyDescent="0.25">
      <c r="A13" s="16">
        <f>A11*A8</f>
        <v>74.426610000000011</v>
      </c>
      <c r="B13" t="s">
        <v>62</v>
      </c>
    </row>
    <row r="14" spans="1:10" x14ac:dyDescent="0.25">
      <c r="A14" s="17"/>
    </row>
    <row r="15" spans="1:10" x14ac:dyDescent="0.25">
      <c r="A15" s="17"/>
    </row>
    <row r="16" spans="1:10" x14ac:dyDescent="0.25">
      <c r="A16" t="s">
        <v>63</v>
      </c>
    </row>
    <row r="17" spans="1:5" x14ac:dyDescent="0.25">
      <c r="A17" s="6" t="s">
        <v>60</v>
      </c>
    </row>
    <row r="20" spans="1:5" x14ac:dyDescent="0.25">
      <c r="A20" t="s">
        <v>64</v>
      </c>
    </row>
    <row r="21" spans="1:5" x14ac:dyDescent="0.25">
      <c r="A21">
        <v>1475</v>
      </c>
      <c r="B21" t="s">
        <v>65</v>
      </c>
    </row>
    <row r="22" spans="1:5" x14ac:dyDescent="0.25">
      <c r="A22">
        <v>737.5</v>
      </c>
      <c r="B22" t="s">
        <v>66</v>
      </c>
      <c r="E22" t="s">
        <v>67</v>
      </c>
    </row>
    <row r="23" spans="1:5" x14ac:dyDescent="0.25">
      <c r="E23" t="s">
        <v>68</v>
      </c>
    </row>
    <row r="24" spans="1:5" x14ac:dyDescent="0.25">
      <c r="A24">
        <f>A21/A22</f>
        <v>2</v>
      </c>
    </row>
    <row r="27" spans="1:5" x14ac:dyDescent="0.25">
      <c r="A27" t="s">
        <v>69</v>
      </c>
    </row>
    <row r="28" spans="1:5" x14ac:dyDescent="0.25">
      <c r="A28">
        <v>4000</v>
      </c>
      <c r="B28" t="s">
        <v>71</v>
      </c>
    </row>
    <row r="29" spans="1:5" x14ac:dyDescent="0.25">
      <c r="A29">
        <v>1475</v>
      </c>
      <c r="B29" t="s">
        <v>70</v>
      </c>
    </row>
    <row r="31" spans="1:5" x14ac:dyDescent="0.25">
      <c r="A31">
        <f>((2*A28)/(A29*2*PI()))*12</f>
        <v>10.358559008014884</v>
      </c>
      <c r="B31" t="s">
        <v>72</v>
      </c>
    </row>
    <row r="33" spans="1:6" x14ac:dyDescent="0.25">
      <c r="A33" t="s">
        <v>74</v>
      </c>
    </row>
    <row r="34" spans="1:6" x14ac:dyDescent="0.25">
      <c r="D34" t="s">
        <v>73</v>
      </c>
    </row>
    <row r="35" spans="1:6" x14ac:dyDescent="0.25">
      <c r="A35" t="s">
        <v>75</v>
      </c>
    </row>
    <row r="37" spans="1:6" x14ac:dyDescent="0.25">
      <c r="A37">
        <v>28.2</v>
      </c>
      <c r="B37" t="s">
        <v>76</v>
      </c>
    </row>
    <row r="39" spans="1:6" ht="75" x14ac:dyDescent="0.25">
      <c r="A39" s="18" t="s">
        <v>78</v>
      </c>
      <c r="B39" s="18" t="s">
        <v>77</v>
      </c>
      <c r="C39" s="18" t="s">
        <v>98</v>
      </c>
      <c r="D39" s="18" t="s">
        <v>79</v>
      </c>
      <c r="E39" s="18" t="s">
        <v>80</v>
      </c>
      <c r="F39" s="18"/>
    </row>
    <row r="40" spans="1:6" x14ac:dyDescent="0.25">
      <c r="A40">
        <v>9.65</v>
      </c>
      <c r="B40">
        <f>2*A40</f>
        <v>19.3</v>
      </c>
      <c r="C40">
        <v>21.1</v>
      </c>
      <c r="D40">
        <f>(A40/C40)*$A$21</f>
        <v>674.58530805687201</v>
      </c>
      <c r="E40" s="19">
        <f>(D40/$A$22)-1</f>
        <v>-8.5308056872037907E-2</v>
      </c>
    </row>
    <row r="41" spans="1:6" x14ac:dyDescent="0.25">
      <c r="A41">
        <v>10.199999999999999</v>
      </c>
      <c r="B41">
        <f t="shared" ref="B41:B44" si="0">2*A41</f>
        <v>20.399999999999999</v>
      </c>
      <c r="C41">
        <v>21.1</v>
      </c>
      <c r="D41">
        <f t="shared" ref="D41:D44" si="1">(A41/C41)*$A$21</f>
        <v>713.03317535545011</v>
      </c>
      <c r="E41" s="19">
        <f t="shared" ref="E41:E44" si="2">(D41/$A$22)-1</f>
        <v>-3.3175355450237087E-2</v>
      </c>
    </row>
    <row r="42" spans="1:6" x14ac:dyDescent="0.25">
      <c r="A42" s="21">
        <v>10.8</v>
      </c>
      <c r="B42" s="21">
        <f t="shared" si="0"/>
        <v>21.6</v>
      </c>
      <c r="C42" s="21">
        <v>21.1</v>
      </c>
      <c r="D42" s="21">
        <f t="shared" si="1"/>
        <v>754.97630331753544</v>
      </c>
      <c r="E42" s="20">
        <f t="shared" si="2"/>
        <v>2.3696682464454888E-2</v>
      </c>
    </row>
    <row r="43" spans="1:6" x14ac:dyDescent="0.25">
      <c r="A43">
        <v>11.7</v>
      </c>
      <c r="B43">
        <f t="shared" si="0"/>
        <v>23.4</v>
      </c>
      <c r="C43">
        <v>21.1</v>
      </c>
      <c r="D43">
        <f t="shared" si="1"/>
        <v>817.89099526066343</v>
      </c>
      <c r="E43" s="19">
        <f t="shared" si="2"/>
        <v>0.1090047393364928</v>
      </c>
    </row>
    <row r="44" spans="1:6" x14ac:dyDescent="0.25">
      <c r="A44">
        <v>12.4</v>
      </c>
      <c r="B44">
        <f t="shared" si="0"/>
        <v>24.8</v>
      </c>
      <c r="C44">
        <v>27.7</v>
      </c>
      <c r="D44">
        <f t="shared" si="1"/>
        <v>660.28880866425993</v>
      </c>
      <c r="E44" s="19">
        <f t="shared" si="2"/>
        <v>-0.10469314079422387</v>
      </c>
    </row>
    <row r="46" spans="1:6" x14ac:dyDescent="0.25">
      <c r="A46" t="s">
        <v>81</v>
      </c>
    </row>
    <row r="47" spans="1:6" x14ac:dyDescent="0.25">
      <c r="A47">
        <v>10.8</v>
      </c>
      <c r="B47" t="s">
        <v>82</v>
      </c>
    </row>
    <row r="48" spans="1:6" x14ac:dyDescent="0.25">
      <c r="A48">
        <v>1475</v>
      </c>
      <c r="B48" t="s">
        <v>83</v>
      </c>
    </row>
    <row r="49" spans="1:4" x14ac:dyDescent="0.25">
      <c r="A49">
        <f>(A47/2)*(A48*2*PI())*1/12</f>
        <v>4170.4642476404506</v>
      </c>
      <c r="B49" t="s">
        <v>84</v>
      </c>
    </row>
    <row r="51" spans="1:4" x14ac:dyDescent="0.25">
      <c r="A51" t="s">
        <v>85</v>
      </c>
    </row>
    <row r="52" spans="1:4" x14ac:dyDescent="0.25">
      <c r="A52" t="s">
        <v>86</v>
      </c>
    </row>
    <row r="53" spans="1:4" x14ac:dyDescent="0.25">
      <c r="A53">
        <v>1.5</v>
      </c>
      <c r="B53" t="s">
        <v>87</v>
      </c>
      <c r="D53" t="s">
        <v>88</v>
      </c>
    </row>
    <row r="54" spans="1:4" x14ac:dyDescent="0.25">
      <c r="A54">
        <v>26</v>
      </c>
      <c r="B54" t="s">
        <v>89</v>
      </c>
    </row>
    <row r="55" spans="1:4" x14ac:dyDescent="0.25">
      <c r="A55">
        <f>A53+A54</f>
        <v>27.5</v>
      </c>
      <c r="B55" t="s">
        <v>90</v>
      </c>
    </row>
    <row r="57" spans="1:4" x14ac:dyDescent="0.25">
      <c r="A57" s="17">
        <f>A13</f>
        <v>74.426610000000011</v>
      </c>
      <c r="B57" t="s">
        <v>91</v>
      </c>
    </row>
    <row r="59" spans="1:4" x14ac:dyDescent="0.25">
      <c r="A59" t="s">
        <v>92</v>
      </c>
    </row>
    <row r="60" spans="1:4" x14ac:dyDescent="0.25">
      <c r="A60">
        <f>A57/A55</f>
        <v>2.7064221818181822</v>
      </c>
    </row>
    <row r="61" spans="1:4" x14ac:dyDescent="0.25">
      <c r="A61" t="s">
        <v>93</v>
      </c>
    </row>
    <row r="62" spans="1:4" x14ac:dyDescent="0.25">
      <c r="A62" t="s">
        <v>94</v>
      </c>
    </row>
    <row r="63" spans="1:4" x14ac:dyDescent="0.25">
      <c r="A63">
        <v>3</v>
      </c>
      <c r="B63" t="s">
        <v>95</v>
      </c>
    </row>
    <row r="65" spans="1:3" x14ac:dyDescent="0.25">
      <c r="A65" t="s">
        <v>96</v>
      </c>
    </row>
    <row r="66" spans="1:3" x14ac:dyDescent="0.25">
      <c r="A66" t="s">
        <v>97</v>
      </c>
    </row>
    <row r="67" spans="1:3" x14ac:dyDescent="0.25">
      <c r="A67" s="5" t="s">
        <v>99</v>
      </c>
    </row>
    <row r="68" spans="1:3" x14ac:dyDescent="0.25">
      <c r="A68">
        <f>C42</f>
        <v>21.1</v>
      </c>
      <c r="B68" t="s">
        <v>100</v>
      </c>
    </row>
    <row r="69" spans="1:3" x14ac:dyDescent="0.25">
      <c r="A69">
        <f>A42</f>
        <v>10.8</v>
      </c>
      <c r="B69" t="s">
        <v>101</v>
      </c>
    </row>
    <row r="70" spans="1:3" x14ac:dyDescent="0.25">
      <c r="A70">
        <f>3*(A68+A69)</f>
        <v>95.7</v>
      </c>
      <c r="B70" s="5" t="s">
        <v>103</v>
      </c>
    </row>
    <row r="71" spans="1:3" x14ac:dyDescent="0.25">
      <c r="A71" s="5" t="s">
        <v>102</v>
      </c>
    </row>
    <row r="73" spans="1:3" x14ac:dyDescent="0.25">
      <c r="A73">
        <f>95.7-10.8</f>
        <v>84.9</v>
      </c>
    </row>
    <row r="74" spans="1:3" ht="90" x14ac:dyDescent="0.25">
      <c r="A74" s="8">
        <f>A73/3</f>
        <v>28.3</v>
      </c>
      <c r="B74" s="10" t="s">
        <v>104</v>
      </c>
      <c r="C74" s="18" t="s">
        <v>105</v>
      </c>
    </row>
    <row r="79" spans="1:3" x14ac:dyDescent="0.25">
      <c r="A79" t="s">
        <v>106</v>
      </c>
    </row>
    <row r="80" spans="1:3" x14ac:dyDescent="0.25">
      <c r="A80" t="s">
        <v>107</v>
      </c>
    </row>
    <row r="85" spans="1:6" x14ac:dyDescent="0.25">
      <c r="A85">
        <f>A74*2</f>
        <v>56.6</v>
      </c>
      <c r="B85" s="5" t="s">
        <v>108</v>
      </c>
    </row>
    <row r="86" spans="1:6" x14ac:dyDescent="0.25">
      <c r="A86">
        <f>1.57*(A68+A69)</f>
        <v>50.083000000000006</v>
      </c>
      <c r="B86" s="5" t="s">
        <v>109</v>
      </c>
    </row>
    <row r="87" spans="1:6" x14ac:dyDescent="0.25">
      <c r="A87" s="8">
        <f>(A68-A69)^2</f>
        <v>106.09000000000002</v>
      </c>
      <c r="B87" s="5" t="s">
        <v>110</v>
      </c>
    </row>
    <row r="88" spans="1:6" x14ac:dyDescent="0.25">
      <c r="A88" s="8">
        <f>4*A74</f>
        <v>113.2</v>
      </c>
      <c r="B88" s="5" t="s">
        <v>111</v>
      </c>
      <c r="D88" s="5" t="s">
        <v>112</v>
      </c>
      <c r="F88" s="8">
        <f>A87/A88</f>
        <v>0.93719081272084814</v>
      </c>
    </row>
    <row r="90" spans="1:6" x14ac:dyDescent="0.25">
      <c r="A90" s="8">
        <f>A85+A86+F88</f>
        <v>107.62019081272085</v>
      </c>
      <c r="B90" s="22" t="s">
        <v>113</v>
      </c>
    </row>
    <row r="93" spans="1:6" x14ac:dyDescent="0.25">
      <c r="A93" t="s">
        <v>117</v>
      </c>
    </row>
    <row r="94" spans="1:6" x14ac:dyDescent="0.25">
      <c r="A94" t="s">
        <v>114</v>
      </c>
    </row>
    <row r="95" spans="1:6" x14ac:dyDescent="0.25">
      <c r="A95" s="23">
        <v>106</v>
      </c>
      <c r="B95" t="s">
        <v>115</v>
      </c>
    </row>
    <row r="96" spans="1:6" x14ac:dyDescent="0.25">
      <c r="A96">
        <v>112</v>
      </c>
      <c r="B96" t="s">
        <v>115</v>
      </c>
      <c r="C96" s="5" t="s">
        <v>116</v>
      </c>
    </row>
    <row r="98" spans="1:2" x14ac:dyDescent="0.25">
      <c r="A98" t="s">
        <v>118</v>
      </c>
    </row>
    <row r="102" spans="1:2" x14ac:dyDescent="0.25">
      <c r="A102" t="s">
        <v>119</v>
      </c>
    </row>
    <row r="110" spans="1:2" x14ac:dyDescent="0.25">
      <c r="A110" t="s">
        <v>120</v>
      </c>
    </row>
    <row r="111" spans="1:2" x14ac:dyDescent="0.25">
      <c r="A111">
        <f>A95</f>
        <v>106</v>
      </c>
      <c r="B111" t="s">
        <v>121</v>
      </c>
    </row>
    <row r="112" spans="1:2" x14ac:dyDescent="0.25">
      <c r="A112">
        <f>A68</f>
        <v>21.1</v>
      </c>
      <c r="B112" t="s">
        <v>100</v>
      </c>
    </row>
    <row r="113" spans="1:2" x14ac:dyDescent="0.25">
      <c r="A113">
        <f>A69</f>
        <v>10.8</v>
      </c>
      <c r="B113" t="s">
        <v>101</v>
      </c>
    </row>
    <row r="115" spans="1:2" x14ac:dyDescent="0.25">
      <c r="A115" t="s">
        <v>122</v>
      </c>
    </row>
    <row r="116" spans="1:2" x14ac:dyDescent="0.25">
      <c r="A116">
        <f>(4*A111) - 6.28*(A112+A113)</f>
        <v>223.66799999999998</v>
      </c>
      <c r="B116" s="5" t="s">
        <v>123</v>
      </c>
    </row>
    <row r="118" spans="1:2" x14ac:dyDescent="0.25">
      <c r="A118" t="s">
        <v>124</v>
      </c>
    </row>
    <row r="119" spans="1:2" x14ac:dyDescent="0.25">
      <c r="A119">
        <f>SQRT(((A116)^2)-((32)*(A112-A113)^2))</f>
        <v>215.94558162648292</v>
      </c>
      <c r="B119" s="5" t="s">
        <v>125</v>
      </c>
    </row>
    <row r="120" spans="1:2" x14ac:dyDescent="0.25">
      <c r="A120">
        <f>A116</f>
        <v>223.66799999999998</v>
      </c>
      <c r="B120" s="5" t="s">
        <v>123</v>
      </c>
    </row>
    <row r="121" spans="1:2" x14ac:dyDescent="0.25">
      <c r="A121">
        <v>16</v>
      </c>
      <c r="B121" s="5" t="s">
        <v>126</v>
      </c>
    </row>
    <row r="122" spans="1:2" x14ac:dyDescent="0.25">
      <c r="A122" s="23">
        <f>(A120+A119)/A121</f>
        <v>27.475848851655179</v>
      </c>
      <c r="B122" s="22" t="s">
        <v>127</v>
      </c>
    </row>
    <row r="126" spans="1:2" x14ac:dyDescent="0.25">
      <c r="A126" t="s">
        <v>128</v>
      </c>
    </row>
    <row r="127" spans="1:2" x14ac:dyDescent="0.25">
      <c r="A127" t="s">
        <v>129</v>
      </c>
    </row>
    <row r="132" spans="1:3" x14ac:dyDescent="0.25">
      <c r="A132" s="8">
        <v>180</v>
      </c>
      <c r="B132" s="8" t="s">
        <v>130</v>
      </c>
    </row>
    <row r="133" spans="1:3" x14ac:dyDescent="0.25">
      <c r="A133" s="8">
        <f>A68</f>
        <v>21.1</v>
      </c>
      <c r="B133" s="8" t="s">
        <v>100</v>
      </c>
    </row>
    <row r="134" spans="1:3" x14ac:dyDescent="0.25">
      <c r="A134" s="8">
        <f>A69</f>
        <v>10.8</v>
      </c>
      <c r="B134" s="8" t="s">
        <v>101</v>
      </c>
    </row>
    <row r="135" spans="1:3" x14ac:dyDescent="0.25">
      <c r="A135" s="8">
        <f>A122</f>
        <v>27.475848851655179</v>
      </c>
      <c r="B135" s="8" t="s">
        <v>131</v>
      </c>
    </row>
    <row r="136" spans="1:3" x14ac:dyDescent="0.25">
      <c r="A136" s="8"/>
      <c r="B136" s="8"/>
    </row>
    <row r="137" spans="1:3" x14ac:dyDescent="0.25">
      <c r="A137" s="8">
        <f>(A133-A134)/(2*A135)</f>
        <v>0.18743733916303582</v>
      </c>
      <c r="B137" s="8"/>
    </row>
    <row r="138" spans="1:3" x14ac:dyDescent="0.25">
      <c r="A138" s="8">
        <f>2*(ASIN(A137))</f>
        <v>0.37710518869296439</v>
      </c>
      <c r="B138" s="8"/>
    </row>
    <row r="139" spans="1:3" x14ac:dyDescent="0.25">
      <c r="A139" s="8"/>
      <c r="B139" s="8"/>
    </row>
    <row r="140" spans="1:3" x14ac:dyDescent="0.25">
      <c r="A140" s="8"/>
      <c r="B140" s="8"/>
    </row>
    <row r="141" spans="1:3" x14ac:dyDescent="0.25">
      <c r="A141" s="8">
        <f>2*(ASIN((A133-A134)/(2*A135)))</f>
        <v>0.37710518869296439</v>
      </c>
      <c r="B141" s="22" t="s">
        <v>132</v>
      </c>
    </row>
    <row r="142" spans="1:3" x14ac:dyDescent="0.25">
      <c r="A142" s="8"/>
      <c r="B142" s="8"/>
    </row>
    <row r="143" spans="1:3" x14ac:dyDescent="0.25">
      <c r="A143" s="24">
        <f>A132-A141</f>
        <v>179.62289481130705</v>
      </c>
      <c r="B143" s="24" t="s">
        <v>133</v>
      </c>
      <c r="C143" s="5" t="s">
        <v>136</v>
      </c>
    </row>
    <row r="145" spans="1:2" x14ac:dyDescent="0.25">
      <c r="A145" t="s">
        <v>134</v>
      </c>
    </row>
    <row r="147" spans="1:2" x14ac:dyDescent="0.25">
      <c r="A147" s="8">
        <v>158.4</v>
      </c>
      <c r="B147" t="s">
        <v>135</v>
      </c>
    </row>
    <row r="151" spans="1:2" x14ac:dyDescent="0.25">
      <c r="A151" t="s">
        <v>137</v>
      </c>
    </row>
    <row r="152" spans="1:2" x14ac:dyDescent="0.25">
      <c r="A152" t="s">
        <v>138</v>
      </c>
    </row>
    <row r="155" spans="1:2" x14ac:dyDescent="0.25">
      <c r="A155" t="s">
        <v>139</v>
      </c>
    </row>
    <row r="156" spans="1:2" x14ac:dyDescent="0.25">
      <c r="A156">
        <v>0.94</v>
      </c>
      <c r="B156" t="s">
        <v>140</v>
      </c>
    </row>
    <row r="158" spans="1:2" x14ac:dyDescent="0.25">
      <c r="A158">
        <v>0.97</v>
      </c>
      <c r="B158" t="s">
        <v>141</v>
      </c>
    </row>
    <row r="161" spans="1:9" x14ac:dyDescent="0.25">
      <c r="A161" t="s">
        <v>145</v>
      </c>
    </row>
    <row r="162" spans="1:9" x14ac:dyDescent="0.25">
      <c r="A162" t="s">
        <v>142</v>
      </c>
    </row>
    <row r="163" spans="1:9" x14ac:dyDescent="0.25">
      <c r="A163" s="5" t="s">
        <v>143</v>
      </c>
    </row>
    <row r="165" spans="1:9" x14ac:dyDescent="0.25">
      <c r="A165">
        <f>A54</f>
        <v>26</v>
      </c>
      <c r="B165" t="s">
        <v>144</v>
      </c>
    </row>
    <row r="166" spans="1:9" x14ac:dyDescent="0.25">
      <c r="A166">
        <f>A156</f>
        <v>0.94</v>
      </c>
      <c r="B166" t="s">
        <v>140</v>
      </c>
    </row>
    <row r="167" spans="1:9" x14ac:dyDescent="0.25">
      <c r="A167">
        <f>A158</f>
        <v>0.97</v>
      </c>
      <c r="B167" t="s">
        <v>141</v>
      </c>
      <c r="E167" s="32" t="s">
        <v>162</v>
      </c>
      <c r="F167" s="21"/>
      <c r="G167" s="21"/>
      <c r="H167" s="21"/>
      <c r="I167" s="21"/>
    </row>
    <row r="169" spans="1:9" x14ac:dyDescent="0.25">
      <c r="A169" s="17">
        <f>A165*A166*A167</f>
        <v>23.706799999999998</v>
      </c>
      <c r="B169" s="5" t="s">
        <v>146</v>
      </c>
    </row>
    <row r="171" spans="1:9" x14ac:dyDescent="0.25">
      <c r="A171" t="s">
        <v>147</v>
      </c>
    </row>
    <row r="172" spans="1:9" x14ac:dyDescent="0.25">
      <c r="A172" s="17">
        <f>A57</f>
        <v>74.426610000000011</v>
      </c>
      <c r="B172" s="5" t="s">
        <v>148</v>
      </c>
    </row>
    <row r="174" spans="1:9" x14ac:dyDescent="0.25">
      <c r="A174" s="25">
        <f>A172/A169</f>
        <v>3.1394625170837065</v>
      </c>
    </row>
    <row r="175" spans="1:9" x14ac:dyDescent="0.25">
      <c r="A175" t="s">
        <v>149</v>
      </c>
    </row>
    <row r="176" spans="1:9" x14ac:dyDescent="0.25">
      <c r="A176" s="49">
        <v>4</v>
      </c>
      <c r="B176" s="5" t="s">
        <v>150</v>
      </c>
    </row>
    <row r="179" spans="1:3" x14ac:dyDescent="0.25">
      <c r="A179" s="27" t="s">
        <v>151</v>
      </c>
      <c r="B179" s="10"/>
      <c r="C179" s="8" t="s">
        <v>160</v>
      </c>
    </row>
    <row r="180" spans="1:3" ht="45" x14ac:dyDescent="0.25">
      <c r="A180" s="28">
        <f>A176</f>
        <v>4</v>
      </c>
      <c r="B180" s="29" t="s">
        <v>150</v>
      </c>
      <c r="C180" s="8"/>
    </row>
    <row r="181" spans="1:3" ht="45" x14ac:dyDescent="0.25">
      <c r="A181" s="30">
        <f>A172</f>
        <v>74.426610000000011</v>
      </c>
      <c r="B181" s="29" t="s">
        <v>148</v>
      </c>
      <c r="C181" s="8" t="s">
        <v>59</v>
      </c>
    </row>
    <row r="182" spans="1:3" x14ac:dyDescent="0.25">
      <c r="A182" s="10">
        <f>A8</f>
        <v>1.5</v>
      </c>
      <c r="B182" s="10" t="s">
        <v>58</v>
      </c>
      <c r="C182" s="8"/>
    </row>
    <row r="183" spans="1:3" ht="30" x14ac:dyDescent="0.25">
      <c r="A183" s="10" t="s">
        <v>152</v>
      </c>
      <c r="B183" s="10" t="s">
        <v>153</v>
      </c>
      <c r="C183" s="8"/>
    </row>
    <row r="184" spans="1:3" ht="45" x14ac:dyDescent="0.25">
      <c r="A184" s="10">
        <f>A113</f>
        <v>10.8</v>
      </c>
      <c r="B184" s="10" t="s">
        <v>154</v>
      </c>
      <c r="C184" s="8" t="s">
        <v>115</v>
      </c>
    </row>
    <row r="185" spans="1:3" ht="45" x14ac:dyDescent="0.25">
      <c r="A185" s="28">
        <f>A176</f>
        <v>4</v>
      </c>
      <c r="B185" s="10" t="s">
        <v>155</v>
      </c>
      <c r="C185" s="8"/>
    </row>
    <row r="186" spans="1:3" ht="45" x14ac:dyDescent="0.25">
      <c r="A186" s="10">
        <f>A112</f>
        <v>21.1</v>
      </c>
      <c r="B186" s="10" t="s">
        <v>156</v>
      </c>
      <c r="C186" s="8" t="s">
        <v>115</v>
      </c>
    </row>
    <row r="187" spans="1:3" ht="45" x14ac:dyDescent="0.25">
      <c r="A187" s="28">
        <f>A176</f>
        <v>4</v>
      </c>
      <c r="B187" s="10" t="s">
        <v>157</v>
      </c>
      <c r="C187" s="8"/>
    </row>
    <row r="188" spans="1:3" ht="30" x14ac:dyDescent="0.25">
      <c r="A188" s="31">
        <f>D42</f>
        <v>754.97630331753544</v>
      </c>
      <c r="B188" s="10" t="s">
        <v>158</v>
      </c>
      <c r="C188" s="8" t="s">
        <v>161</v>
      </c>
    </row>
    <row r="189" spans="1:3" ht="30" x14ac:dyDescent="0.25">
      <c r="A189" s="31">
        <f>A122</f>
        <v>27.475848851655179</v>
      </c>
      <c r="B189" s="10" t="s">
        <v>159</v>
      </c>
      <c r="C189" s="8" t="s">
        <v>115</v>
      </c>
    </row>
    <row r="191" spans="1:3" x14ac:dyDescent="0.25">
      <c r="A191" s="6" t="s">
        <v>163</v>
      </c>
    </row>
    <row r="192" spans="1:3" x14ac:dyDescent="0.25">
      <c r="A192" t="s">
        <v>164</v>
      </c>
    </row>
    <row r="194" spans="1:3" x14ac:dyDescent="0.25">
      <c r="A194" t="s">
        <v>165</v>
      </c>
    </row>
    <row r="195" spans="1:3" x14ac:dyDescent="0.25">
      <c r="A195" s="5" t="s">
        <v>166</v>
      </c>
    </row>
    <row r="198" spans="1:3" ht="15.75" thickBot="1" x14ac:dyDescent="0.3"/>
    <row r="199" spans="1:3" ht="60.75" thickBot="1" x14ac:dyDescent="0.3">
      <c r="A199" s="34" t="s">
        <v>241</v>
      </c>
      <c r="B199" s="35" t="s">
        <v>242</v>
      </c>
    </row>
    <row r="201" spans="1:3" x14ac:dyDescent="0.25">
      <c r="A201" t="s">
        <v>243</v>
      </c>
    </row>
    <row r="204" spans="1:3" x14ac:dyDescent="0.25">
      <c r="A204" s="94" t="s">
        <v>50</v>
      </c>
      <c r="B204" s="94"/>
      <c r="C204" s="94"/>
    </row>
    <row r="206" spans="1:3" x14ac:dyDescent="0.25">
      <c r="A206" t="s">
        <v>51</v>
      </c>
    </row>
    <row r="208" spans="1:3" x14ac:dyDescent="0.25">
      <c r="A208" t="s">
        <v>52</v>
      </c>
    </row>
    <row r="209" spans="1:2" x14ac:dyDescent="0.25">
      <c r="A209" t="s">
        <v>57</v>
      </c>
    </row>
    <row r="211" spans="1:2" x14ac:dyDescent="0.25">
      <c r="A211">
        <v>1.5</v>
      </c>
      <c r="B211" t="s">
        <v>58</v>
      </c>
    </row>
    <row r="212" spans="1:2" x14ac:dyDescent="0.25">
      <c r="A212">
        <v>37</v>
      </c>
      <c r="B212" t="s">
        <v>31</v>
      </c>
    </row>
    <row r="213" spans="1:2" x14ac:dyDescent="0.25">
      <c r="A213" t="s">
        <v>61</v>
      </c>
    </row>
    <row r="214" spans="1:2" x14ac:dyDescent="0.25">
      <c r="A214" s="9">
        <f>A212*1.34102</f>
        <v>49.617740000000005</v>
      </c>
      <c r="B214" t="s">
        <v>59</v>
      </c>
    </row>
    <row r="216" spans="1:2" x14ac:dyDescent="0.25">
      <c r="A216" s="16">
        <f>A214*A211</f>
        <v>74.426610000000011</v>
      </c>
      <c r="B216" t="s">
        <v>62</v>
      </c>
    </row>
    <row r="217" spans="1:2" x14ac:dyDescent="0.25">
      <c r="A217" s="17"/>
    </row>
    <row r="218" spans="1:2" x14ac:dyDescent="0.25">
      <c r="A218" s="17"/>
    </row>
    <row r="219" spans="1:2" x14ac:dyDescent="0.25">
      <c r="A219" t="s">
        <v>63</v>
      </c>
    </row>
    <row r="220" spans="1:2" x14ac:dyDescent="0.25">
      <c r="A220" s="6" t="s">
        <v>60</v>
      </c>
    </row>
    <row r="223" spans="1:2" x14ac:dyDescent="0.25">
      <c r="A223" t="s">
        <v>244</v>
      </c>
    </row>
    <row r="224" spans="1:2" x14ac:dyDescent="0.25">
      <c r="A224">
        <v>1475</v>
      </c>
      <c r="B224" t="s">
        <v>65</v>
      </c>
    </row>
    <row r="225" spans="1:2" x14ac:dyDescent="0.25">
      <c r="A225">
        <v>1.8</v>
      </c>
      <c r="B225" t="s">
        <v>246</v>
      </c>
    </row>
    <row r="227" spans="1:2" x14ac:dyDescent="0.25">
      <c r="A227" s="25">
        <f>A224/A225</f>
        <v>819.44444444444446</v>
      </c>
      <c r="B227" t="s">
        <v>247</v>
      </c>
    </row>
    <row r="230" spans="1:2" x14ac:dyDescent="0.25">
      <c r="A230" t="s">
        <v>250</v>
      </c>
    </row>
    <row r="231" spans="1:2" x14ac:dyDescent="0.25">
      <c r="A231">
        <v>4000</v>
      </c>
      <c r="B231" t="s">
        <v>251</v>
      </c>
    </row>
    <row r="234" spans="1:2" x14ac:dyDescent="0.25">
      <c r="A234" t="s">
        <v>252</v>
      </c>
    </row>
    <row r="240" spans="1:2" x14ac:dyDescent="0.25">
      <c r="A240">
        <f>A224*(2*PI())</f>
        <v>9267.6983280898894</v>
      </c>
      <c r="B240" t="s">
        <v>253</v>
      </c>
    </row>
    <row r="242" spans="1:5" x14ac:dyDescent="0.25">
      <c r="A242" s="25">
        <f>((2*A231)/(A224*2*PI()))*12</f>
        <v>10.358559008014884</v>
      </c>
      <c r="B242" t="s">
        <v>254</v>
      </c>
    </row>
    <row r="245" spans="1:5" x14ac:dyDescent="0.25">
      <c r="A245" t="s">
        <v>74</v>
      </c>
    </row>
    <row r="246" spans="1:5" x14ac:dyDescent="0.25">
      <c r="D246" t="s">
        <v>73</v>
      </c>
    </row>
    <row r="247" spans="1:5" x14ac:dyDescent="0.25">
      <c r="A247" t="s">
        <v>75</v>
      </c>
    </row>
    <row r="249" spans="1:5" x14ac:dyDescent="0.25">
      <c r="A249">
        <v>28.2</v>
      </c>
      <c r="B249" t="s">
        <v>76</v>
      </c>
    </row>
    <row r="251" spans="1:5" ht="75" x14ac:dyDescent="0.25">
      <c r="A251" s="18" t="s">
        <v>78</v>
      </c>
      <c r="B251" s="18" t="s">
        <v>256</v>
      </c>
      <c r="C251" s="18" t="s">
        <v>98</v>
      </c>
      <c r="D251" s="18" t="s">
        <v>79</v>
      </c>
      <c r="E251" s="18" t="s">
        <v>255</v>
      </c>
    </row>
    <row r="252" spans="1:5" x14ac:dyDescent="0.25">
      <c r="A252">
        <v>9.65</v>
      </c>
      <c r="B252">
        <f>1.8*A252</f>
        <v>17.37</v>
      </c>
      <c r="C252">
        <v>15.9</v>
      </c>
      <c r="D252">
        <f>(A252/C252)*A$224</f>
        <v>895.20440251572325</v>
      </c>
      <c r="E252" s="37">
        <f>(D252/A$227)-1</f>
        <v>9.2452830188679114E-2</v>
      </c>
    </row>
    <row r="253" spans="1:5" x14ac:dyDescent="0.25">
      <c r="A253">
        <v>10.199999999999999</v>
      </c>
      <c r="B253">
        <f t="shared" ref="B253:B256" si="3">1.8*A253</f>
        <v>18.36</v>
      </c>
      <c r="C253">
        <v>15.9</v>
      </c>
      <c r="D253">
        <f t="shared" ref="D253:D256" si="4">(A253/C253)*A$224</f>
        <v>946.22641509433959</v>
      </c>
      <c r="E253" s="37">
        <f t="shared" ref="E253:E256" si="5">(D253/A$227)-1</f>
        <v>0.15471698113207544</v>
      </c>
    </row>
    <row r="254" spans="1:5" x14ac:dyDescent="0.25">
      <c r="A254">
        <v>10.8</v>
      </c>
      <c r="B254">
        <f t="shared" si="3"/>
        <v>19.440000000000001</v>
      </c>
      <c r="C254">
        <v>21.1</v>
      </c>
      <c r="D254">
        <f t="shared" si="4"/>
        <v>754.97630331753544</v>
      </c>
      <c r="E254" s="37">
        <f t="shared" si="5"/>
        <v>-7.8672985781990667E-2</v>
      </c>
    </row>
    <row r="255" spans="1:5" x14ac:dyDescent="0.25">
      <c r="A255" s="21">
        <v>11.7</v>
      </c>
      <c r="B255" s="21">
        <f t="shared" si="3"/>
        <v>21.06</v>
      </c>
      <c r="C255" s="21">
        <v>21.1</v>
      </c>
      <c r="D255" s="21">
        <f t="shared" si="4"/>
        <v>817.89099526066343</v>
      </c>
      <c r="E255" s="38">
        <f t="shared" si="5"/>
        <v>-1.8957345971565287E-3</v>
      </c>
    </row>
    <row r="256" spans="1:5" x14ac:dyDescent="0.25">
      <c r="A256">
        <v>12.4</v>
      </c>
      <c r="B256">
        <f t="shared" si="3"/>
        <v>22.32</v>
      </c>
      <c r="C256">
        <v>21.1</v>
      </c>
      <c r="D256">
        <f t="shared" si="4"/>
        <v>866.82464454976298</v>
      </c>
      <c r="E256" s="37">
        <f t="shared" si="5"/>
        <v>5.7819905213269962E-2</v>
      </c>
    </row>
    <row r="258" spans="1:2" x14ac:dyDescent="0.25">
      <c r="A258" t="s">
        <v>81</v>
      </c>
    </row>
    <row r="259" spans="1:2" x14ac:dyDescent="0.25">
      <c r="A259">
        <f>A255</f>
        <v>11.7</v>
      </c>
      <c r="B259" t="s">
        <v>82</v>
      </c>
    </row>
    <row r="260" spans="1:2" x14ac:dyDescent="0.25">
      <c r="A260">
        <v>1475</v>
      </c>
      <c r="B260" t="s">
        <v>83</v>
      </c>
    </row>
    <row r="261" spans="1:2" x14ac:dyDescent="0.25">
      <c r="A261">
        <f>(A259/2)*(A260*2*PI())*1/12</f>
        <v>4518.0029349438209</v>
      </c>
      <c r="B261" t="s">
        <v>84</v>
      </c>
    </row>
    <row r="264" spans="1:2" x14ac:dyDescent="0.25">
      <c r="A264" t="s">
        <v>257</v>
      </c>
    </row>
    <row r="267" spans="1:2" x14ac:dyDescent="0.25">
      <c r="A267" t="s">
        <v>85</v>
      </c>
    </row>
    <row r="268" spans="1:2" x14ac:dyDescent="0.25">
      <c r="A268" t="s">
        <v>86</v>
      </c>
    </row>
    <row r="269" spans="1:2" x14ac:dyDescent="0.25">
      <c r="A269">
        <v>1.47</v>
      </c>
      <c r="B269" t="s">
        <v>87</v>
      </c>
    </row>
    <row r="270" spans="1:2" x14ac:dyDescent="0.25">
      <c r="A270">
        <v>26</v>
      </c>
      <c r="B270" t="s">
        <v>89</v>
      </c>
    </row>
    <row r="271" spans="1:2" x14ac:dyDescent="0.25">
      <c r="A271">
        <f>A269+A270</f>
        <v>27.47</v>
      </c>
      <c r="B271" t="s">
        <v>90</v>
      </c>
    </row>
    <row r="273" spans="1:2" x14ac:dyDescent="0.25">
      <c r="A273" s="17">
        <f>A216</f>
        <v>74.426610000000011</v>
      </c>
      <c r="B273" t="s">
        <v>91</v>
      </c>
    </row>
    <row r="275" spans="1:2" x14ac:dyDescent="0.25">
      <c r="A275" t="s">
        <v>92</v>
      </c>
    </row>
    <row r="276" spans="1:2" x14ac:dyDescent="0.25">
      <c r="A276">
        <f>A273/A271</f>
        <v>2.7093778667637429</v>
      </c>
    </row>
    <row r="277" spans="1:2" x14ac:dyDescent="0.25">
      <c r="A277" t="s">
        <v>93</v>
      </c>
    </row>
    <row r="278" spans="1:2" x14ac:dyDescent="0.25">
      <c r="A278" t="s">
        <v>94</v>
      </c>
    </row>
    <row r="279" spans="1:2" x14ac:dyDescent="0.25">
      <c r="A279">
        <v>3</v>
      </c>
      <c r="B279" t="s">
        <v>95</v>
      </c>
    </row>
    <row r="282" spans="1:2" x14ac:dyDescent="0.25">
      <c r="A282" t="s">
        <v>96</v>
      </c>
    </row>
    <row r="283" spans="1:2" x14ac:dyDescent="0.25">
      <c r="A283" t="s">
        <v>97</v>
      </c>
    </row>
    <row r="284" spans="1:2" x14ac:dyDescent="0.25">
      <c r="A284" s="5" t="s">
        <v>99</v>
      </c>
    </row>
    <row r="285" spans="1:2" x14ac:dyDescent="0.25">
      <c r="A285">
        <f>C255</f>
        <v>21.1</v>
      </c>
      <c r="B285" t="s">
        <v>100</v>
      </c>
    </row>
    <row r="286" spans="1:2" x14ac:dyDescent="0.25">
      <c r="A286">
        <f>A255</f>
        <v>11.7</v>
      </c>
      <c r="B286" t="s">
        <v>101</v>
      </c>
    </row>
    <row r="287" spans="1:2" x14ac:dyDescent="0.25">
      <c r="A287">
        <f>3*(A285+A286)</f>
        <v>98.399999999999991</v>
      </c>
      <c r="B287" s="5" t="s">
        <v>103</v>
      </c>
    </row>
    <row r="288" spans="1:2" x14ac:dyDescent="0.25">
      <c r="A288" s="5" t="s">
        <v>258</v>
      </c>
    </row>
    <row r="291" spans="1:6" ht="90" x14ac:dyDescent="0.25">
      <c r="A291" s="8">
        <v>40</v>
      </c>
      <c r="B291" s="10" t="s">
        <v>104</v>
      </c>
      <c r="C291" s="18" t="s">
        <v>105</v>
      </c>
    </row>
    <row r="294" spans="1:6" x14ac:dyDescent="0.25">
      <c r="A294" t="s">
        <v>106</v>
      </c>
    </row>
    <row r="295" spans="1:6" x14ac:dyDescent="0.25">
      <c r="A295" t="s">
        <v>107</v>
      </c>
    </row>
    <row r="300" spans="1:6" x14ac:dyDescent="0.25">
      <c r="A300">
        <f>2*A291</f>
        <v>80</v>
      </c>
      <c r="B300" s="5" t="s">
        <v>108</v>
      </c>
    </row>
    <row r="301" spans="1:6" x14ac:dyDescent="0.25">
      <c r="A301">
        <f>1.57*(A285+A286)</f>
        <v>51.495999999999995</v>
      </c>
      <c r="B301" s="5" t="s">
        <v>109</v>
      </c>
    </row>
    <row r="302" spans="1:6" x14ac:dyDescent="0.25">
      <c r="A302" s="8">
        <f>(A285-A286)^2</f>
        <v>88.360000000000042</v>
      </c>
      <c r="B302" s="5" t="s">
        <v>110</v>
      </c>
    </row>
    <row r="303" spans="1:6" x14ac:dyDescent="0.25">
      <c r="A303" s="8">
        <f>4*A291</f>
        <v>160</v>
      </c>
      <c r="B303" s="5" t="s">
        <v>111</v>
      </c>
      <c r="D303" s="5" t="s">
        <v>112</v>
      </c>
      <c r="F303" s="8">
        <f>A302/A303</f>
        <v>0.55225000000000024</v>
      </c>
    </row>
    <row r="305" spans="1:3" x14ac:dyDescent="0.25">
      <c r="A305" s="8">
        <f>A300+A301+F303</f>
        <v>132.04824999999997</v>
      </c>
      <c r="B305" s="22" t="s">
        <v>113</v>
      </c>
    </row>
    <row r="309" spans="1:3" x14ac:dyDescent="0.25">
      <c r="A309" t="s">
        <v>117</v>
      </c>
    </row>
    <row r="310" spans="1:3" x14ac:dyDescent="0.25">
      <c r="A310" t="s">
        <v>114</v>
      </c>
    </row>
    <row r="311" spans="1:3" x14ac:dyDescent="0.25">
      <c r="A311" s="23">
        <v>132</v>
      </c>
      <c r="B311" t="s">
        <v>115</v>
      </c>
    </row>
    <row r="312" spans="1:3" x14ac:dyDescent="0.25">
      <c r="A312">
        <v>140</v>
      </c>
      <c r="B312" t="s">
        <v>115</v>
      </c>
      <c r="C312" s="5" t="s">
        <v>116</v>
      </c>
    </row>
    <row r="314" spans="1:3" x14ac:dyDescent="0.25">
      <c r="A314" t="s">
        <v>259</v>
      </c>
    </row>
    <row r="318" spans="1:3" x14ac:dyDescent="0.25">
      <c r="A318" t="s">
        <v>119</v>
      </c>
    </row>
    <row r="326" spans="1:2" x14ac:dyDescent="0.25">
      <c r="A326" t="s">
        <v>120</v>
      </c>
    </row>
    <row r="327" spans="1:2" x14ac:dyDescent="0.25">
      <c r="A327">
        <f>A311</f>
        <v>132</v>
      </c>
      <c r="B327" t="s">
        <v>121</v>
      </c>
    </row>
    <row r="328" spans="1:2" x14ac:dyDescent="0.25">
      <c r="A328">
        <f>A285</f>
        <v>21.1</v>
      </c>
      <c r="B328" t="s">
        <v>100</v>
      </c>
    </row>
    <row r="329" spans="1:2" x14ac:dyDescent="0.25">
      <c r="A329">
        <f>A286</f>
        <v>11.7</v>
      </c>
      <c r="B329" t="s">
        <v>101</v>
      </c>
    </row>
    <row r="331" spans="1:2" x14ac:dyDescent="0.25">
      <c r="A331" t="s">
        <v>122</v>
      </c>
    </row>
    <row r="332" spans="1:2" x14ac:dyDescent="0.25">
      <c r="A332">
        <f>(4*A327) - 6.28*(A328+A329)</f>
        <v>322.01600000000002</v>
      </c>
      <c r="B332" s="5" t="s">
        <v>123</v>
      </c>
    </row>
    <row r="334" spans="1:2" x14ac:dyDescent="0.25">
      <c r="A334" t="s">
        <v>124</v>
      </c>
    </row>
    <row r="335" spans="1:2" x14ac:dyDescent="0.25">
      <c r="A335">
        <f>SQRT(((A332)^2)-((32)*(A328-A329)^2))</f>
        <v>317.59531522993223</v>
      </c>
      <c r="B335" s="5" t="s">
        <v>125</v>
      </c>
    </row>
    <row r="336" spans="1:2" x14ac:dyDescent="0.25">
      <c r="A336">
        <f>A332</f>
        <v>322.01600000000002</v>
      </c>
      <c r="B336" s="5" t="s">
        <v>123</v>
      </c>
    </row>
    <row r="337" spans="1:2" x14ac:dyDescent="0.25">
      <c r="A337">
        <v>16</v>
      </c>
      <c r="B337" s="5" t="s">
        <v>126</v>
      </c>
    </row>
    <row r="338" spans="1:2" x14ac:dyDescent="0.25">
      <c r="A338" s="23">
        <f>(A336+A335)/A337</f>
        <v>39.975707201870762</v>
      </c>
      <c r="B338" s="22" t="s">
        <v>127</v>
      </c>
    </row>
    <row r="341" spans="1:2" x14ac:dyDescent="0.25">
      <c r="A341" t="s">
        <v>260</v>
      </c>
    </row>
    <row r="342" spans="1:2" x14ac:dyDescent="0.25">
      <c r="A342" t="s">
        <v>129</v>
      </c>
    </row>
    <row r="347" spans="1:2" x14ac:dyDescent="0.25">
      <c r="A347">
        <f>RADIANS(180)</f>
        <v>3.1415926535897931</v>
      </c>
      <c r="B347" t="s">
        <v>261</v>
      </c>
    </row>
    <row r="348" spans="1:2" x14ac:dyDescent="0.25">
      <c r="A348">
        <f>2*(ASIN((A328-A329)/(2*A338)))</f>
        <v>0.23568793587951881</v>
      </c>
      <c r="B348" t="s">
        <v>264</v>
      </c>
    </row>
    <row r="349" spans="1:2" x14ac:dyDescent="0.25">
      <c r="A349">
        <f>A347-A348</f>
        <v>2.9059047177102744</v>
      </c>
      <c r="B349" t="s">
        <v>133</v>
      </c>
    </row>
    <row r="351" spans="1:2" x14ac:dyDescent="0.25">
      <c r="A351" t="s">
        <v>262</v>
      </c>
    </row>
    <row r="352" spans="1:2" x14ac:dyDescent="0.25">
      <c r="A352" s="25">
        <f>DEGREES(A349)</f>
        <v>166.4960759919536</v>
      </c>
      <c r="B352" t="s">
        <v>263</v>
      </c>
    </row>
    <row r="355" spans="1:2" x14ac:dyDescent="0.25">
      <c r="A355" t="s">
        <v>265</v>
      </c>
    </row>
    <row r="356" spans="1:2" x14ac:dyDescent="0.25">
      <c r="A356" t="s">
        <v>138</v>
      </c>
    </row>
    <row r="358" spans="1:2" x14ac:dyDescent="0.25">
      <c r="A358" t="s">
        <v>266</v>
      </c>
    </row>
    <row r="360" spans="1:2" x14ac:dyDescent="0.25">
      <c r="A360">
        <v>0.96199999999999997</v>
      </c>
      <c r="B360" t="s">
        <v>140</v>
      </c>
    </row>
    <row r="362" spans="1:2" x14ac:dyDescent="0.25">
      <c r="A362">
        <v>1.01</v>
      </c>
      <c r="B362" t="s">
        <v>141</v>
      </c>
    </row>
    <row r="365" spans="1:2" x14ac:dyDescent="0.25">
      <c r="A365" t="s">
        <v>608</v>
      </c>
    </row>
    <row r="366" spans="1:2" x14ac:dyDescent="0.25">
      <c r="A366" t="s">
        <v>267</v>
      </c>
    </row>
    <row r="367" spans="1:2" x14ac:dyDescent="0.25">
      <c r="A367" s="5" t="s">
        <v>143</v>
      </c>
    </row>
    <row r="369" spans="1:2" x14ac:dyDescent="0.25">
      <c r="A369">
        <f>A271</f>
        <v>27.47</v>
      </c>
      <c r="B369" t="s">
        <v>144</v>
      </c>
    </row>
    <row r="370" spans="1:2" x14ac:dyDescent="0.25">
      <c r="A370">
        <f>A360</f>
        <v>0.96199999999999997</v>
      </c>
      <c r="B370" t="s">
        <v>140</v>
      </c>
    </row>
    <row r="371" spans="1:2" x14ac:dyDescent="0.25">
      <c r="A371">
        <f>A362</f>
        <v>1.01</v>
      </c>
      <c r="B371" t="s">
        <v>141</v>
      </c>
    </row>
    <row r="373" spans="1:2" x14ac:dyDescent="0.25">
      <c r="A373" s="17">
        <f>A369*A370*A371</f>
        <v>26.690401399999995</v>
      </c>
      <c r="B373" s="5" t="s">
        <v>146</v>
      </c>
    </row>
    <row r="375" spans="1:2" x14ac:dyDescent="0.25">
      <c r="A375" t="s">
        <v>147</v>
      </c>
    </row>
    <row r="376" spans="1:2" x14ac:dyDescent="0.25">
      <c r="A376" s="17">
        <f>A273</f>
        <v>74.426610000000011</v>
      </c>
      <c r="B376" s="5" t="s">
        <v>148</v>
      </c>
    </row>
    <row r="378" spans="1:2" x14ac:dyDescent="0.25">
      <c r="A378" s="25">
        <f>A376/A373</f>
        <v>2.7885159494079406</v>
      </c>
    </row>
    <row r="379" spans="1:2" x14ac:dyDescent="0.25">
      <c r="A379" t="s">
        <v>149</v>
      </c>
    </row>
    <row r="380" spans="1:2" x14ac:dyDescent="0.25">
      <c r="A380" s="26">
        <v>3</v>
      </c>
      <c r="B380" s="5" t="s">
        <v>150</v>
      </c>
    </row>
  </sheetData>
  <mergeCells count="3">
    <mergeCell ref="I2:I4"/>
    <mergeCell ref="A1:C1"/>
    <mergeCell ref="A204:C20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A7428-FAA3-4FEA-A7AA-0D98E1A86E1A}">
  <dimension ref="A14:Z521"/>
  <sheetViews>
    <sheetView topLeftCell="A377" zoomScale="85" zoomScaleNormal="85" workbookViewId="0">
      <selection activeCell="A519" sqref="A519:F519"/>
    </sheetView>
  </sheetViews>
  <sheetFormatPr defaultRowHeight="15" x14ac:dyDescent="0.25"/>
  <cols>
    <col min="1" max="1" width="12" bestFit="1" customWidth="1"/>
    <col min="5" max="5" width="10.85546875" bestFit="1" customWidth="1"/>
  </cols>
  <sheetData>
    <row r="14" spans="1:1" x14ac:dyDescent="0.25">
      <c r="A14" t="s">
        <v>167</v>
      </c>
    </row>
    <row r="15" spans="1:1" x14ac:dyDescent="0.25">
      <c r="A15" s="6" t="s">
        <v>168</v>
      </c>
    </row>
    <row r="17" spans="1:8" x14ac:dyDescent="0.25">
      <c r="A17" t="s">
        <v>184</v>
      </c>
    </row>
    <row r="18" spans="1:8" s="18" customFormat="1" ht="60" x14ac:dyDescent="0.25">
      <c r="A18" s="10" t="s">
        <v>169</v>
      </c>
      <c r="B18" s="10" t="s">
        <v>170</v>
      </c>
      <c r="C18" s="10" t="s">
        <v>171</v>
      </c>
      <c r="D18" s="10" t="s">
        <v>172</v>
      </c>
      <c r="E18" s="10" t="s">
        <v>177</v>
      </c>
      <c r="F18" s="10" t="s">
        <v>173</v>
      </c>
      <c r="G18" s="10" t="s">
        <v>174</v>
      </c>
      <c r="H18" s="10" t="s">
        <v>175</v>
      </c>
    </row>
    <row r="19" spans="1:8" x14ac:dyDescent="0.25">
      <c r="A19" s="8">
        <v>37</v>
      </c>
      <c r="B19" s="8">
        <v>980</v>
      </c>
      <c r="C19" s="8" t="s">
        <v>176</v>
      </c>
      <c r="D19" s="8">
        <v>65</v>
      </c>
      <c r="E19" s="8">
        <v>68.7</v>
      </c>
      <c r="F19" s="8">
        <v>93.2</v>
      </c>
      <c r="G19" s="8">
        <v>0.85</v>
      </c>
      <c r="H19" s="8">
        <v>359.2</v>
      </c>
    </row>
    <row r="21" spans="1:8" x14ac:dyDescent="0.25">
      <c r="A21" t="s">
        <v>178</v>
      </c>
    </row>
    <row r="23" spans="1:8" x14ac:dyDescent="0.25">
      <c r="A23">
        <v>1.5</v>
      </c>
      <c r="B23" t="s">
        <v>179</v>
      </c>
    </row>
    <row r="25" spans="1:8" x14ac:dyDescent="0.25">
      <c r="A25" t="s">
        <v>180</v>
      </c>
    </row>
    <row r="26" spans="1:8" x14ac:dyDescent="0.25">
      <c r="A26" s="25">
        <f>A19*1.34102</f>
        <v>49.617740000000005</v>
      </c>
      <c r="B26" t="s">
        <v>59</v>
      </c>
    </row>
    <row r="28" spans="1:8" x14ac:dyDescent="0.25">
      <c r="A28" t="s">
        <v>181</v>
      </c>
    </row>
    <row r="29" spans="1:8" x14ac:dyDescent="0.25">
      <c r="A29" s="16">
        <f>A23*A26</f>
        <v>74.426610000000011</v>
      </c>
    </row>
    <row r="31" spans="1:8" x14ac:dyDescent="0.25">
      <c r="A31" t="s">
        <v>182</v>
      </c>
    </row>
    <row r="32" spans="1:8" x14ac:dyDescent="0.25">
      <c r="A32">
        <v>980</v>
      </c>
      <c r="B32" t="s">
        <v>65</v>
      </c>
    </row>
    <row r="33" spans="1:5" x14ac:dyDescent="0.25">
      <c r="A33">
        <f>980/2</f>
        <v>490</v>
      </c>
      <c r="B33" t="s">
        <v>66</v>
      </c>
      <c r="E33" t="s">
        <v>67</v>
      </c>
    </row>
    <row r="34" spans="1:5" x14ac:dyDescent="0.25">
      <c r="E34" t="s">
        <v>68</v>
      </c>
    </row>
    <row r="35" spans="1:5" x14ac:dyDescent="0.25">
      <c r="A35" s="8">
        <f>A32/A33</f>
        <v>2</v>
      </c>
    </row>
    <row r="38" spans="1:5" x14ac:dyDescent="0.25">
      <c r="A38" t="s">
        <v>183</v>
      </c>
    </row>
    <row r="40" spans="1:5" x14ac:dyDescent="0.25">
      <c r="A40" t="s">
        <v>185</v>
      </c>
    </row>
    <row r="41" spans="1:5" x14ac:dyDescent="0.25">
      <c r="A41">
        <v>28</v>
      </c>
      <c r="B41" t="s">
        <v>186</v>
      </c>
    </row>
    <row r="42" spans="1:5" x14ac:dyDescent="0.25">
      <c r="A42">
        <v>1</v>
      </c>
      <c r="B42" t="s">
        <v>187</v>
      </c>
    </row>
    <row r="43" spans="1:5" x14ac:dyDescent="0.25">
      <c r="A43" t="s">
        <v>188</v>
      </c>
      <c r="B43" t="s">
        <v>191</v>
      </c>
    </row>
    <row r="44" spans="1:5" x14ac:dyDescent="0.25">
      <c r="A44" t="s">
        <v>190</v>
      </c>
      <c r="B44" t="s">
        <v>189</v>
      </c>
    </row>
    <row r="47" spans="1:5" x14ac:dyDescent="0.25">
      <c r="A47" t="s">
        <v>192</v>
      </c>
    </row>
    <row r="51" spans="1:2" x14ac:dyDescent="0.25">
      <c r="A51">
        <f>A41</f>
        <v>28</v>
      </c>
      <c r="B51" t="s">
        <v>193</v>
      </c>
    </row>
    <row r="52" spans="1:2" x14ac:dyDescent="0.25">
      <c r="A52">
        <f>A35</f>
        <v>2</v>
      </c>
      <c r="B52" t="s">
        <v>194</v>
      </c>
    </row>
    <row r="54" spans="1:2" x14ac:dyDescent="0.25">
      <c r="A54">
        <f>A51*A52</f>
        <v>56</v>
      </c>
      <c r="B54" t="s">
        <v>195</v>
      </c>
    </row>
    <row r="57" spans="1:2" x14ac:dyDescent="0.25">
      <c r="A57" t="s">
        <v>196</v>
      </c>
    </row>
    <row r="58" spans="1:2" x14ac:dyDescent="0.25">
      <c r="A58" s="5" t="s">
        <v>197</v>
      </c>
    </row>
    <row r="61" spans="1:2" x14ac:dyDescent="0.25">
      <c r="A61" t="s">
        <v>198</v>
      </c>
    </row>
    <row r="71" spans="1:4" x14ac:dyDescent="0.25">
      <c r="A71">
        <f>A42</f>
        <v>1</v>
      </c>
      <c r="B71" t="s">
        <v>187</v>
      </c>
    </row>
    <row r="72" spans="1:4" x14ac:dyDescent="0.25">
      <c r="A72">
        <f>A71/(SIN(RADIANS(180)/A51))</f>
        <v>8.9314042703805061</v>
      </c>
      <c r="B72" t="s">
        <v>202</v>
      </c>
    </row>
    <row r="73" spans="1:4" x14ac:dyDescent="0.25">
      <c r="A73">
        <f>A71/(SIN(RADIANS(180)/A54))</f>
        <v>17.834707038625069</v>
      </c>
      <c r="B73" t="s">
        <v>203</v>
      </c>
      <c r="D73" s="5" t="s">
        <v>201</v>
      </c>
    </row>
    <row r="77" spans="1:4" x14ac:dyDescent="0.25">
      <c r="A77" t="s">
        <v>204</v>
      </c>
    </row>
    <row r="79" spans="1:4" x14ac:dyDescent="0.25">
      <c r="A79" t="s">
        <v>205</v>
      </c>
    </row>
    <row r="81" spans="1:2" x14ac:dyDescent="0.25">
      <c r="A81">
        <v>40</v>
      </c>
      <c r="B81" t="s">
        <v>206</v>
      </c>
    </row>
    <row r="82" spans="1:2" x14ac:dyDescent="0.25">
      <c r="A82">
        <f>A81*A71</f>
        <v>40</v>
      </c>
      <c r="B82" t="s">
        <v>207</v>
      </c>
    </row>
    <row r="84" spans="1:2" x14ac:dyDescent="0.25">
      <c r="A84" t="s">
        <v>208</v>
      </c>
    </row>
    <row r="85" spans="1:2" x14ac:dyDescent="0.25">
      <c r="A85" s="33" t="s">
        <v>209</v>
      </c>
    </row>
    <row r="86" spans="1:2" x14ac:dyDescent="0.25">
      <c r="A86" s="33" t="s">
        <v>210</v>
      </c>
    </row>
    <row r="87" spans="1:2" x14ac:dyDescent="0.25">
      <c r="A87" s="33" t="s">
        <v>211</v>
      </c>
    </row>
    <row r="88" spans="1:2" x14ac:dyDescent="0.25">
      <c r="A88" s="33" t="s">
        <v>212</v>
      </c>
    </row>
    <row r="92" spans="1:2" x14ac:dyDescent="0.25">
      <c r="A92" t="s">
        <v>213</v>
      </c>
    </row>
    <row r="98" spans="1:6" x14ac:dyDescent="0.25">
      <c r="A98">
        <f>2*A82</f>
        <v>80</v>
      </c>
      <c r="B98" s="5" t="s">
        <v>214</v>
      </c>
    </row>
    <row r="101" spans="1:6" x14ac:dyDescent="0.25">
      <c r="A101">
        <f>(A54+A51)/2</f>
        <v>42</v>
      </c>
      <c r="B101" s="5" t="s">
        <v>214</v>
      </c>
    </row>
    <row r="105" spans="1:6" x14ac:dyDescent="0.25">
      <c r="A105">
        <f>(A54-A51)^2</f>
        <v>784</v>
      </c>
      <c r="B105" s="5" t="s">
        <v>214</v>
      </c>
    </row>
    <row r="106" spans="1:6" x14ac:dyDescent="0.25">
      <c r="A106">
        <f>4*((PI())^2)*A82</f>
        <v>1579.1367041742974</v>
      </c>
      <c r="B106" s="5" t="s">
        <v>214</v>
      </c>
      <c r="E106" s="5" t="s">
        <v>215</v>
      </c>
      <c r="F106">
        <f>A105/A106</f>
        <v>0.4964737998474551</v>
      </c>
    </row>
    <row r="109" spans="1:6" x14ac:dyDescent="0.25">
      <c r="A109" s="8">
        <f>A98+A101+F106</f>
        <v>122.49647379984745</v>
      </c>
      <c r="B109" s="22" t="s">
        <v>216</v>
      </c>
    </row>
    <row r="113" spans="1:2" x14ac:dyDescent="0.25">
      <c r="A113" t="s">
        <v>217</v>
      </c>
    </row>
    <row r="115" spans="1:2" x14ac:dyDescent="0.25">
      <c r="A115" t="s">
        <v>218</v>
      </c>
    </row>
    <row r="116" spans="1:2" x14ac:dyDescent="0.25">
      <c r="A116">
        <v>122</v>
      </c>
      <c r="B116" t="s">
        <v>219</v>
      </c>
    </row>
    <row r="118" spans="1:2" x14ac:dyDescent="0.25">
      <c r="A118" t="s">
        <v>220</v>
      </c>
    </row>
    <row r="124" spans="1:2" x14ac:dyDescent="0.25">
      <c r="A124">
        <f>A116</f>
        <v>122</v>
      </c>
      <c r="B124" s="5" t="s">
        <v>216</v>
      </c>
    </row>
    <row r="127" spans="1:2" x14ac:dyDescent="0.25">
      <c r="A127">
        <f>(A51+A54)/2</f>
        <v>42</v>
      </c>
      <c r="B127" s="5" t="s">
        <v>214</v>
      </c>
    </row>
    <row r="132" spans="1:6" x14ac:dyDescent="0.25">
      <c r="A132">
        <f>SQRT(((A124-A127)^2)-((8*(A105))/(4*PI()^2)))</f>
        <v>79.000812553092231</v>
      </c>
      <c r="B132" s="5" t="s">
        <v>214</v>
      </c>
    </row>
    <row r="136" spans="1:6" x14ac:dyDescent="0.25">
      <c r="A136" s="15">
        <f>(1/4)*(A124-A127+A132)</f>
        <v>39.750203138273058</v>
      </c>
      <c r="B136" t="s">
        <v>221</v>
      </c>
      <c r="E136" s="5" t="s">
        <v>214</v>
      </c>
      <c r="F136" t="s">
        <v>222</v>
      </c>
    </row>
    <row r="137" spans="1:6" x14ac:dyDescent="0.25">
      <c r="A137" s="25">
        <f>A136*A71</f>
        <v>39.750203138273058</v>
      </c>
      <c r="B137" t="s">
        <v>223</v>
      </c>
    </row>
    <row r="140" spans="1:6" x14ac:dyDescent="0.25">
      <c r="A140" t="s">
        <v>224</v>
      </c>
    </row>
    <row r="151" spans="1:6" x14ac:dyDescent="0.25">
      <c r="A151">
        <f>(A73-A72)/(2*A137)</f>
        <v>0.11199065747254149</v>
      </c>
      <c r="B151" s="5" t="s">
        <v>214</v>
      </c>
    </row>
    <row r="156" spans="1:6" x14ac:dyDescent="0.25">
      <c r="A156">
        <f>2*(ASIN(A151))</f>
        <v>0.22445216940233875</v>
      </c>
      <c r="B156" s="5" t="s">
        <v>214</v>
      </c>
    </row>
    <row r="160" spans="1:6" x14ac:dyDescent="0.25">
      <c r="A160" s="8">
        <f>(RADIANS(180))-A156</f>
        <v>2.9171404841874544</v>
      </c>
      <c r="B160" s="8" t="s">
        <v>226</v>
      </c>
      <c r="D160" s="5" t="s">
        <v>214</v>
      </c>
      <c r="E160" s="14">
        <f>DEGREES(A160)</f>
        <v>167.13983799069061</v>
      </c>
      <c r="F160" s="8" t="s">
        <v>130</v>
      </c>
    </row>
    <row r="171" spans="1:2" x14ac:dyDescent="0.25">
      <c r="A171">
        <f>(A73-A72)/(2*A137)</f>
        <v>0.11199065747254149</v>
      </c>
      <c r="B171" s="5" t="s">
        <v>214</v>
      </c>
    </row>
    <row r="176" spans="1:2" x14ac:dyDescent="0.25">
      <c r="A176">
        <f>2*(ASIN(A151))</f>
        <v>0.22445216940233875</v>
      </c>
      <c r="B176" s="5" t="s">
        <v>214</v>
      </c>
    </row>
    <row r="179" spans="1:6" x14ac:dyDescent="0.25">
      <c r="A179" s="8">
        <f>(RADIANS(180))+A156</f>
        <v>3.3660448229921318</v>
      </c>
      <c r="B179" s="8" t="s">
        <v>225</v>
      </c>
      <c r="D179" s="5" t="s">
        <v>214</v>
      </c>
      <c r="E179" s="14">
        <f>DEGREES(A179)</f>
        <v>192.86016200930939</v>
      </c>
      <c r="F179" s="8" t="s">
        <v>130</v>
      </c>
    </row>
    <row r="181" spans="1:6" x14ac:dyDescent="0.25">
      <c r="A181" s="6" t="s">
        <v>227</v>
      </c>
    </row>
    <row r="183" spans="1:6" x14ac:dyDescent="0.25">
      <c r="A183" t="s">
        <v>228</v>
      </c>
    </row>
    <row r="300" spans="1:8" x14ac:dyDescent="0.25">
      <c r="A300" s="6" t="s">
        <v>151</v>
      </c>
    </row>
    <row r="301" spans="1:8" ht="45" x14ac:dyDescent="0.25">
      <c r="A301" s="10" t="s">
        <v>231</v>
      </c>
      <c r="B301" s="10" t="s">
        <v>232</v>
      </c>
      <c r="C301" s="10" t="s">
        <v>229</v>
      </c>
      <c r="D301" s="10" t="s">
        <v>233</v>
      </c>
      <c r="E301" s="10" t="s">
        <v>234</v>
      </c>
      <c r="F301" s="10" t="s">
        <v>235</v>
      </c>
      <c r="G301" s="10" t="s">
        <v>230</v>
      </c>
      <c r="H301" s="18"/>
    </row>
    <row r="302" spans="1:8" s="18" customFormat="1" ht="75" x14ac:dyDescent="0.25">
      <c r="A302" s="10" t="s">
        <v>236</v>
      </c>
      <c r="B302" s="10">
        <f>A116</f>
        <v>122</v>
      </c>
      <c r="C302" s="10" t="s">
        <v>237</v>
      </c>
      <c r="D302" s="10" t="s">
        <v>238</v>
      </c>
      <c r="E302" s="10">
        <f>A33</f>
        <v>490</v>
      </c>
      <c r="F302" s="31">
        <f>A137</f>
        <v>39.750203138273058</v>
      </c>
      <c r="G302" s="10" t="s">
        <v>239</v>
      </c>
    </row>
    <row r="305" spans="1:2" x14ac:dyDescent="0.25">
      <c r="A305" s="6" t="s">
        <v>240</v>
      </c>
    </row>
    <row r="306" spans="1:2" ht="15.75" thickBot="1" x14ac:dyDescent="0.3"/>
    <row r="307" spans="1:2" ht="60.75" thickBot="1" x14ac:dyDescent="0.3">
      <c r="A307" s="34" t="s">
        <v>241</v>
      </c>
      <c r="B307" s="35" t="s">
        <v>242</v>
      </c>
    </row>
    <row r="323" spans="1:26" x14ac:dyDescent="0.25">
      <c r="A323" t="s">
        <v>167</v>
      </c>
    </row>
    <row r="324" spans="1:26" x14ac:dyDescent="0.25">
      <c r="A324" s="6" t="s">
        <v>168</v>
      </c>
    </row>
    <row r="326" spans="1:26" x14ac:dyDescent="0.25">
      <c r="A326" t="s">
        <v>184</v>
      </c>
    </row>
    <row r="327" spans="1:26" ht="60" x14ac:dyDescent="0.25">
      <c r="A327" s="10" t="s">
        <v>169</v>
      </c>
      <c r="B327" s="10" t="s">
        <v>170</v>
      </c>
      <c r="C327" s="10" t="s">
        <v>171</v>
      </c>
      <c r="D327" s="10" t="s">
        <v>172</v>
      </c>
      <c r="E327" s="10" t="s">
        <v>177</v>
      </c>
      <c r="F327" s="10" t="s">
        <v>173</v>
      </c>
      <c r="G327" s="10" t="s">
        <v>174</v>
      </c>
      <c r="H327" s="10" t="s">
        <v>175</v>
      </c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x14ac:dyDescent="0.25">
      <c r="A328" s="8">
        <v>37</v>
      </c>
      <c r="B328" s="8">
        <v>980</v>
      </c>
      <c r="C328" s="8" t="s">
        <v>176</v>
      </c>
      <c r="D328" s="8">
        <v>65</v>
      </c>
      <c r="E328" s="8">
        <v>68.7</v>
      </c>
      <c r="F328" s="8">
        <v>93.2</v>
      </c>
      <c r="G328" s="8">
        <v>0.85</v>
      </c>
      <c r="H328" s="8">
        <v>359.2</v>
      </c>
    </row>
    <row r="330" spans="1:26" x14ac:dyDescent="0.25">
      <c r="A330" t="s">
        <v>178</v>
      </c>
    </row>
    <row r="332" spans="1:26" x14ac:dyDescent="0.25">
      <c r="A332">
        <v>1.5</v>
      </c>
      <c r="B332" t="s">
        <v>179</v>
      </c>
    </row>
    <row r="334" spans="1:26" x14ac:dyDescent="0.25">
      <c r="A334" t="s">
        <v>180</v>
      </c>
    </row>
    <row r="335" spans="1:26" x14ac:dyDescent="0.25">
      <c r="A335" s="25">
        <f>A328*1.34102</f>
        <v>49.617740000000005</v>
      </c>
      <c r="B335" t="s">
        <v>59</v>
      </c>
    </row>
    <row r="337" spans="1:2" x14ac:dyDescent="0.25">
      <c r="A337" t="s">
        <v>181</v>
      </c>
    </row>
    <row r="338" spans="1:2" x14ac:dyDescent="0.25">
      <c r="A338" s="16">
        <f>A332*A335</f>
        <v>74.426610000000011</v>
      </c>
    </row>
    <row r="340" spans="1:2" x14ac:dyDescent="0.25">
      <c r="A340" t="s">
        <v>268</v>
      </c>
    </row>
    <row r="341" spans="1:2" x14ac:dyDescent="0.25">
      <c r="A341">
        <v>980</v>
      </c>
      <c r="B341" t="s">
        <v>65</v>
      </c>
    </row>
    <row r="342" spans="1:2" x14ac:dyDescent="0.25">
      <c r="A342">
        <v>1.8</v>
      </c>
      <c r="B342" t="s">
        <v>245</v>
      </c>
    </row>
    <row r="344" spans="1:2" x14ac:dyDescent="0.25">
      <c r="A344" s="8">
        <f>A341/A342</f>
        <v>544.44444444444446</v>
      </c>
      <c r="B344" t="s">
        <v>66</v>
      </c>
    </row>
    <row r="347" spans="1:2" x14ac:dyDescent="0.25">
      <c r="A347" t="s">
        <v>183</v>
      </c>
    </row>
    <row r="348" spans="1:2" x14ac:dyDescent="0.25">
      <c r="A348" t="s">
        <v>269</v>
      </c>
    </row>
    <row r="349" spans="1:2" x14ac:dyDescent="0.25">
      <c r="A349">
        <v>4</v>
      </c>
      <c r="B349" t="s">
        <v>270</v>
      </c>
    </row>
    <row r="350" spans="1:2" x14ac:dyDescent="0.25">
      <c r="A350">
        <v>3.3</v>
      </c>
      <c r="B350" t="s">
        <v>271</v>
      </c>
    </row>
    <row r="353" spans="1:2" x14ac:dyDescent="0.25">
      <c r="A353" t="s">
        <v>272</v>
      </c>
    </row>
    <row r="354" spans="1:2" x14ac:dyDescent="0.25">
      <c r="A354">
        <f>A338/A350</f>
        <v>22.553518181818188</v>
      </c>
    </row>
    <row r="356" spans="1:2" x14ac:dyDescent="0.25">
      <c r="A356" t="s">
        <v>273</v>
      </c>
    </row>
    <row r="357" spans="1:2" x14ac:dyDescent="0.25">
      <c r="A357" t="s">
        <v>274</v>
      </c>
    </row>
    <row r="358" spans="1:2" x14ac:dyDescent="0.25">
      <c r="A358" t="s">
        <v>275</v>
      </c>
    </row>
    <row r="360" spans="1:2" x14ac:dyDescent="0.25">
      <c r="A360" t="s">
        <v>276</v>
      </c>
    </row>
    <row r="361" spans="1:2" x14ac:dyDescent="0.25">
      <c r="A361" t="s">
        <v>277</v>
      </c>
    </row>
    <row r="362" spans="1:2" x14ac:dyDescent="0.25">
      <c r="A362">
        <v>2</v>
      </c>
      <c r="B362" t="s">
        <v>270</v>
      </c>
    </row>
    <row r="363" spans="1:2" x14ac:dyDescent="0.25">
      <c r="A363">
        <v>1.7</v>
      </c>
      <c r="B363" t="s">
        <v>271</v>
      </c>
    </row>
    <row r="366" spans="1:2" x14ac:dyDescent="0.25">
      <c r="A366" t="s">
        <v>272</v>
      </c>
    </row>
    <row r="367" spans="1:2" x14ac:dyDescent="0.25">
      <c r="A367">
        <f>A338/A363</f>
        <v>43.780358823529419</v>
      </c>
      <c r="B367" s="5" t="s">
        <v>278</v>
      </c>
    </row>
    <row r="370" spans="1:8" x14ac:dyDescent="0.25">
      <c r="A370" t="s">
        <v>279</v>
      </c>
    </row>
    <row r="371" spans="1:8" x14ac:dyDescent="0.25">
      <c r="A371">
        <v>19</v>
      </c>
      <c r="B371" t="s">
        <v>186</v>
      </c>
      <c r="H371" s="5"/>
    </row>
    <row r="372" spans="1:8" x14ac:dyDescent="0.25">
      <c r="A372">
        <v>1</v>
      </c>
      <c r="B372" t="s">
        <v>187</v>
      </c>
    </row>
    <row r="373" spans="1:8" x14ac:dyDescent="0.25">
      <c r="A373" t="s">
        <v>280</v>
      </c>
      <c r="B373" t="s">
        <v>281</v>
      </c>
    </row>
    <row r="374" spans="1:8" x14ac:dyDescent="0.25">
      <c r="A374" t="s">
        <v>190</v>
      </c>
      <c r="B374" t="s">
        <v>189</v>
      </c>
    </row>
    <row r="377" spans="1:8" x14ac:dyDescent="0.25">
      <c r="A377" t="s">
        <v>192</v>
      </c>
    </row>
    <row r="381" spans="1:8" x14ac:dyDescent="0.25">
      <c r="A381">
        <f>A371</f>
        <v>19</v>
      </c>
      <c r="B381" t="s">
        <v>193</v>
      </c>
    </row>
    <row r="382" spans="1:8" x14ac:dyDescent="0.25">
      <c r="A382">
        <f>A342</f>
        <v>1.8</v>
      </c>
      <c r="B382" t="s">
        <v>194</v>
      </c>
    </row>
    <row r="384" spans="1:8" x14ac:dyDescent="0.25">
      <c r="A384">
        <f>A381*A382</f>
        <v>34.200000000000003</v>
      </c>
      <c r="B384" t="s">
        <v>195</v>
      </c>
    </row>
    <row r="387" spans="1:4" x14ac:dyDescent="0.25">
      <c r="A387" t="s">
        <v>196</v>
      </c>
    </row>
    <row r="389" spans="1:4" x14ac:dyDescent="0.25">
      <c r="A389" t="s">
        <v>282</v>
      </c>
    </row>
    <row r="390" spans="1:4" x14ac:dyDescent="0.25">
      <c r="A390">
        <v>35</v>
      </c>
      <c r="B390" t="s">
        <v>195</v>
      </c>
    </row>
    <row r="391" spans="1:4" x14ac:dyDescent="0.25">
      <c r="A391">
        <f>A390/A381</f>
        <v>1.8421052631578947</v>
      </c>
      <c r="B391" t="s">
        <v>283</v>
      </c>
      <c r="D391" s="5" t="s">
        <v>292</v>
      </c>
    </row>
    <row r="392" spans="1:4" x14ac:dyDescent="0.25">
      <c r="A392" s="25">
        <f>A341/A391</f>
        <v>532</v>
      </c>
      <c r="B392" t="s">
        <v>284</v>
      </c>
    </row>
    <row r="393" spans="1:4" x14ac:dyDescent="0.25">
      <c r="A393" s="5"/>
    </row>
    <row r="396" spans="1:4" x14ac:dyDescent="0.25">
      <c r="A396" s="94" t="s">
        <v>285</v>
      </c>
      <c r="B396" s="94"/>
    </row>
    <row r="399" spans="1:4" x14ac:dyDescent="0.25">
      <c r="D399" s="5" t="s">
        <v>201</v>
      </c>
    </row>
    <row r="408" spans="1:3" x14ac:dyDescent="0.25">
      <c r="A408">
        <f>A372/(SIN(RADIANS(180)/A381))</f>
        <v>6.0755338209742602</v>
      </c>
      <c r="B408" t="s">
        <v>199</v>
      </c>
    </row>
    <row r="409" spans="1:3" x14ac:dyDescent="0.25">
      <c r="A409">
        <f>A372/(SIN(RADIANS(180)/A390))</f>
        <v>11.155820055209022</v>
      </c>
      <c r="B409" t="s">
        <v>200</v>
      </c>
    </row>
    <row r="411" spans="1:3" x14ac:dyDescent="0.25">
      <c r="A411" t="s">
        <v>286</v>
      </c>
    </row>
    <row r="412" spans="1:3" x14ac:dyDescent="0.25">
      <c r="A412">
        <f>(PI()*A408*A381)/12</f>
        <v>30.220849662797679</v>
      </c>
      <c r="B412" t="s">
        <v>287</v>
      </c>
    </row>
    <row r="414" spans="1:3" x14ac:dyDescent="0.25">
      <c r="A414" s="94" t="s">
        <v>288</v>
      </c>
      <c r="B414" s="94"/>
      <c r="C414" s="94"/>
    </row>
    <row r="416" spans="1:3" x14ac:dyDescent="0.25">
      <c r="A416" t="s">
        <v>289</v>
      </c>
    </row>
    <row r="417" spans="1:9" x14ac:dyDescent="0.25">
      <c r="A417" t="s">
        <v>205</v>
      </c>
    </row>
    <row r="419" spans="1:9" x14ac:dyDescent="0.25">
      <c r="A419">
        <v>30</v>
      </c>
      <c r="B419" t="s">
        <v>206</v>
      </c>
      <c r="G419" s="95" t="s">
        <v>291</v>
      </c>
      <c r="H419" s="95"/>
      <c r="I419" s="95"/>
    </row>
    <row r="420" spans="1:9" x14ac:dyDescent="0.25">
      <c r="A420">
        <f>A419*A372</f>
        <v>30</v>
      </c>
      <c r="B420" t="s">
        <v>207</v>
      </c>
      <c r="C420" s="5" t="s">
        <v>290</v>
      </c>
    </row>
    <row r="422" spans="1:9" x14ac:dyDescent="0.25">
      <c r="A422" t="s">
        <v>208</v>
      </c>
    </row>
    <row r="423" spans="1:9" x14ac:dyDescent="0.25">
      <c r="A423" s="33" t="s">
        <v>209</v>
      </c>
    </row>
    <row r="424" spans="1:9" x14ac:dyDescent="0.25">
      <c r="A424" s="33" t="s">
        <v>210</v>
      </c>
    </row>
    <row r="425" spans="1:9" x14ac:dyDescent="0.25">
      <c r="A425" s="33" t="s">
        <v>211</v>
      </c>
    </row>
    <row r="426" spans="1:9" x14ac:dyDescent="0.25">
      <c r="A426" s="33" t="s">
        <v>212</v>
      </c>
    </row>
    <row r="432" spans="1:9" x14ac:dyDescent="0.25">
      <c r="A432" t="s">
        <v>213</v>
      </c>
    </row>
    <row r="438" spans="1:6" x14ac:dyDescent="0.25">
      <c r="A438">
        <f>2*A420</f>
        <v>60</v>
      </c>
      <c r="B438" s="5" t="s">
        <v>214</v>
      </c>
    </row>
    <row r="441" spans="1:6" x14ac:dyDescent="0.25">
      <c r="A441">
        <f>(A381+A390)/2</f>
        <v>27</v>
      </c>
      <c r="B441" s="5" t="s">
        <v>214</v>
      </c>
    </row>
    <row r="445" spans="1:6" x14ac:dyDescent="0.25">
      <c r="A445">
        <f>(A390-A381)^2</f>
        <v>256</v>
      </c>
      <c r="B445" s="5" t="s">
        <v>214</v>
      </c>
    </row>
    <row r="446" spans="1:6" x14ac:dyDescent="0.25">
      <c r="A446">
        <f>4*((PI())^2)*A420</f>
        <v>1184.3525281307229</v>
      </c>
      <c r="B446" s="5" t="s">
        <v>214</v>
      </c>
      <c r="E446" s="5" t="s">
        <v>215</v>
      </c>
      <c r="F446">
        <f>A445/A446</f>
        <v>0.21615185843698725</v>
      </c>
    </row>
    <row r="449" spans="1:2" x14ac:dyDescent="0.25">
      <c r="A449" s="8">
        <f>A438+A441+F446</f>
        <v>87.216151858436987</v>
      </c>
      <c r="B449" s="22" t="s">
        <v>216</v>
      </c>
    </row>
    <row r="453" spans="1:2" x14ac:dyDescent="0.25">
      <c r="A453" t="s">
        <v>217</v>
      </c>
    </row>
    <row r="455" spans="1:2" x14ac:dyDescent="0.25">
      <c r="A455" t="s">
        <v>218</v>
      </c>
    </row>
    <row r="456" spans="1:2" x14ac:dyDescent="0.25">
      <c r="A456" s="8">
        <v>88</v>
      </c>
      <c r="B456" t="s">
        <v>219</v>
      </c>
    </row>
    <row r="458" spans="1:2" x14ac:dyDescent="0.25">
      <c r="A458" t="s">
        <v>220</v>
      </c>
    </row>
    <row r="464" spans="1:2" x14ac:dyDescent="0.25">
      <c r="A464">
        <f>A456</f>
        <v>88</v>
      </c>
      <c r="B464" s="5" t="s">
        <v>216</v>
      </c>
    </row>
    <row r="467" spans="1:6" x14ac:dyDescent="0.25">
      <c r="A467">
        <f>(A390+A381)/2</f>
        <v>27</v>
      </c>
      <c r="B467" s="5" t="s">
        <v>214</v>
      </c>
    </row>
    <row r="472" spans="1:6" x14ac:dyDescent="0.25">
      <c r="A472">
        <f>SQRT(((A464-A467)^2)-((8*(A445))/(4*PI()^2)))</f>
        <v>60.573290763959022</v>
      </c>
      <c r="B472" s="5" t="s">
        <v>214</v>
      </c>
    </row>
    <row r="476" spans="1:6" x14ac:dyDescent="0.25">
      <c r="A476" s="15">
        <f>(1/4)*(A464-A467+A472)</f>
        <v>30.393322690989756</v>
      </c>
      <c r="B476" t="s">
        <v>221</v>
      </c>
      <c r="E476" s="5" t="s">
        <v>214</v>
      </c>
      <c r="F476" t="s">
        <v>222</v>
      </c>
    </row>
    <row r="477" spans="1:6" x14ac:dyDescent="0.25">
      <c r="A477" s="39">
        <f>A476*A372</f>
        <v>30.393322690989756</v>
      </c>
      <c r="B477" t="s">
        <v>223</v>
      </c>
    </row>
    <row r="480" spans="1:6" x14ac:dyDescent="0.25">
      <c r="A480" t="s">
        <v>224</v>
      </c>
    </row>
    <row r="491" spans="1:2" x14ac:dyDescent="0.25">
      <c r="A491">
        <f>(A409-A408)/(2*A477)</f>
        <v>8.3575696640447214E-2</v>
      </c>
      <c r="B491" s="5" t="s">
        <v>214</v>
      </c>
    </row>
    <row r="496" spans="1:2" x14ac:dyDescent="0.25">
      <c r="A496">
        <f>2*(ASIN(A491))</f>
        <v>0.16734659668238255</v>
      </c>
      <c r="B496" s="5" t="s">
        <v>214</v>
      </c>
    </row>
    <row r="500" spans="1:6" x14ac:dyDescent="0.25">
      <c r="A500" s="8">
        <f>(RADIANS(180))-A496</f>
        <v>2.9742460569074107</v>
      </c>
      <c r="B500" s="8" t="s">
        <v>226</v>
      </c>
      <c r="D500" s="5" t="s">
        <v>214</v>
      </c>
      <c r="E500" s="15">
        <f>DEGREES(A500)</f>
        <v>170.4117462942215</v>
      </c>
      <c r="F500" s="8" t="s">
        <v>130</v>
      </c>
    </row>
    <row r="511" spans="1:6" x14ac:dyDescent="0.25">
      <c r="A511">
        <f>(A409-A408)/(2*A477)</f>
        <v>8.3575696640447214E-2</v>
      </c>
      <c r="B511" s="5" t="s">
        <v>214</v>
      </c>
    </row>
    <row r="516" spans="1:6" x14ac:dyDescent="0.25">
      <c r="A516">
        <f>2*(ASIN(A491))</f>
        <v>0.16734659668238255</v>
      </c>
      <c r="B516" s="5" t="s">
        <v>214</v>
      </c>
    </row>
    <row r="519" spans="1:6" x14ac:dyDescent="0.25">
      <c r="A519" s="8">
        <f>(RADIANS(180))+A496</f>
        <v>3.3089392502721755</v>
      </c>
      <c r="B519" s="8" t="s">
        <v>225</v>
      </c>
      <c r="D519" s="5" t="s">
        <v>214</v>
      </c>
      <c r="E519" s="15">
        <f>DEGREES(A519)</f>
        <v>189.5882537057785</v>
      </c>
      <c r="F519" s="8" t="s">
        <v>130</v>
      </c>
    </row>
    <row r="521" spans="1:6" x14ac:dyDescent="0.25">
      <c r="A521" s="6" t="s">
        <v>227</v>
      </c>
    </row>
  </sheetData>
  <mergeCells count="3">
    <mergeCell ref="A414:C414"/>
    <mergeCell ref="A396:B396"/>
    <mergeCell ref="G419:I419"/>
  </mergeCells>
  <phoneticPr fontId="9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A7C65-C5A7-49C0-90E7-01EFB7E8B388}">
  <dimension ref="A42:V326"/>
  <sheetViews>
    <sheetView topLeftCell="F193" zoomScale="85" zoomScaleNormal="85" workbookViewId="0">
      <selection activeCell="AC200" sqref="AC200"/>
    </sheetView>
  </sheetViews>
  <sheetFormatPr defaultColWidth="12.7109375" defaultRowHeight="15" x14ac:dyDescent="0.25"/>
  <cols>
    <col min="1" max="1" width="19.85546875" bestFit="1" customWidth="1"/>
  </cols>
  <sheetData>
    <row r="42" spans="1:5" x14ac:dyDescent="0.25">
      <c r="A42" s="15">
        <f>'Part c)'!A392</f>
        <v>532</v>
      </c>
      <c r="B42" t="s">
        <v>248</v>
      </c>
    </row>
    <row r="43" spans="1:5" x14ac:dyDescent="0.25">
      <c r="B43" s="36" t="s">
        <v>249</v>
      </c>
    </row>
    <row r="45" spans="1:5" x14ac:dyDescent="0.25">
      <c r="B45" t="s">
        <v>293</v>
      </c>
    </row>
    <row r="46" spans="1:5" x14ac:dyDescent="0.25">
      <c r="B46" t="s">
        <v>294</v>
      </c>
    </row>
    <row r="47" spans="1:5" x14ac:dyDescent="0.25">
      <c r="B47" t="s">
        <v>295</v>
      </c>
      <c r="C47" s="5" t="s">
        <v>24</v>
      </c>
      <c r="D47">
        <f>37*0.95</f>
        <v>35.15</v>
      </c>
      <c r="E47" t="s">
        <v>31</v>
      </c>
    </row>
    <row r="49" spans="1:7" x14ac:dyDescent="0.25">
      <c r="A49" t="s">
        <v>296</v>
      </c>
      <c r="G49" t="s">
        <v>323</v>
      </c>
    </row>
    <row r="50" spans="1:7" x14ac:dyDescent="0.25">
      <c r="A50">
        <f>D47</f>
        <v>35.15</v>
      </c>
      <c r="B50" t="s">
        <v>300</v>
      </c>
    </row>
    <row r="51" spans="1:7" x14ac:dyDescent="0.25">
      <c r="A51" s="25">
        <f>A42</f>
        <v>532</v>
      </c>
      <c r="B51" t="s">
        <v>297</v>
      </c>
      <c r="G51" t="s">
        <v>302</v>
      </c>
    </row>
    <row r="52" spans="1:7" x14ac:dyDescent="0.25">
      <c r="A52" s="2">
        <v>80</v>
      </c>
      <c r="B52" t="s">
        <v>298</v>
      </c>
      <c r="G52" t="s">
        <v>303</v>
      </c>
    </row>
    <row r="53" spans="1:7" x14ac:dyDescent="0.25">
      <c r="A53">
        <v>3400</v>
      </c>
      <c r="B53" t="s">
        <v>299</v>
      </c>
      <c r="G53" t="s">
        <v>309</v>
      </c>
    </row>
    <row r="54" spans="1:7" x14ac:dyDescent="0.25">
      <c r="A54" s="40">
        <v>0.98</v>
      </c>
      <c r="B54" t="s">
        <v>301</v>
      </c>
    </row>
    <row r="55" spans="1:7" x14ac:dyDescent="0.25">
      <c r="A55" s="40">
        <v>0.99</v>
      </c>
      <c r="B55" t="s">
        <v>304</v>
      </c>
      <c r="G55" t="s">
        <v>310</v>
      </c>
    </row>
    <row r="56" spans="1:7" x14ac:dyDescent="0.25">
      <c r="A56" t="s">
        <v>305</v>
      </c>
      <c r="B56" t="s">
        <v>306</v>
      </c>
      <c r="G56" t="s">
        <v>311</v>
      </c>
    </row>
    <row r="57" spans="1:7" s="18" customFormat="1" ht="30" x14ac:dyDescent="0.25">
      <c r="A57" s="18" t="s">
        <v>307</v>
      </c>
      <c r="B57" s="18" t="s">
        <v>308</v>
      </c>
      <c r="G57" t="s">
        <v>312</v>
      </c>
    </row>
    <row r="58" spans="1:7" x14ac:dyDescent="0.25">
      <c r="G58" t="s">
        <v>313</v>
      </c>
    </row>
    <row r="59" spans="1:7" x14ac:dyDescent="0.25">
      <c r="A59" t="s">
        <v>319</v>
      </c>
      <c r="G59" t="s">
        <v>314</v>
      </c>
    </row>
    <row r="60" spans="1:7" x14ac:dyDescent="0.25">
      <c r="A60" s="25">
        <f>A51</f>
        <v>532</v>
      </c>
      <c r="B60" t="s">
        <v>320</v>
      </c>
      <c r="C60" s="5" t="s">
        <v>392</v>
      </c>
      <c r="G60" t="s">
        <v>315</v>
      </c>
    </row>
    <row r="61" spans="1:7" x14ac:dyDescent="0.25">
      <c r="A61" s="25">
        <f>A52</f>
        <v>80</v>
      </c>
      <c r="B61" t="s">
        <v>321</v>
      </c>
      <c r="G61" t="s">
        <v>316</v>
      </c>
    </row>
    <row r="62" spans="1:7" x14ac:dyDescent="0.25">
      <c r="A62" s="9">
        <f>A60/A61</f>
        <v>6.65</v>
      </c>
      <c r="B62" t="s">
        <v>322</v>
      </c>
      <c r="G62" t="s">
        <v>317</v>
      </c>
    </row>
    <row r="64" spans="1:7" x14ac:dyDescent="0.25">
      <c r="A64" s="47" t="s">
        <v>365</v>
      </c>
      <c r="G64" t="s">
        <v>318</v>
      </c>
    </row>
    <row r="65" spans="1:7" x14ac:dyDescent="0.25">
      <c r="A65" s="47">
        <f>1/A62</f>
        <v>0.15037593984962405</v>
      </c>
      <c r="G65" t="s">
        <v>324</v>
      </c>
    </row>
    <row r="69" spans="1:7" x14ac:dyDescent="0.25">
      <c r="A69" t="s">
        <v>342</v>
      </c>
    </row>
    <row r="71" spans="1:7" x14ac:dyDescent="0.25">
      <c r="A71" t="s">
        <v>312</v>
      </c>
    </row>
    <row r="72" spans="1:7" x14ac:dyDescent="0.25">
      <c r="A72">
        <v>1</v>
      </c>
      <c r="B72" t="s">
        <v>326</v>
      </c>
    </row>
    <row r="73" spans="1:7" x14ac:dyDescent="0.25">
      <c r="A73">
        <v>12</v>
      </c>
      <c r="B73" t="s">
        <v>327</v>
      </c>
    </row>
    <row r="75" spans="1:7" x14ac:dyDescent="0.25">
      <c r="A75" s="8" t="s">
        <v>329</v>
      </c>
      <c r="B75" s="8" t="s">
        <v>330</v>
      </c>
      <c r="C75" s="8" t="s">
        <v>331</v>
      </c>
    </row>
    <row r="76" spans="1:7" x14ac:dyDescent="0.25">
      <c r="A76" s="8" t="s">
        <v>328</v>
      </c>
      <c r="B76" s="8">
        <v>144</v>
      </c>
      <c r="C76" s="8">
        <v>20</v>
      </c>
    </row>
    <row r="79" spans="1:7" x14ac:dyDescent="0.25">
      <c r="A79" t="s">
        <v>332</v>
      </c>
    </row>
    <row r="80" spans="1:7" x14ac:dyDescent="0.25">
      <c r="A80" s="8" t="s">
        <v>333</v>
      </c>
    </row>
    <row r="81" spans="1:4" x14ac:dyDescent="0.25">
      <c r="A81" t="s">
        <v>312</v>
      </c>
    </row>
    <row r="82" spans="1:4" x14ac:dyDescent="0.25">
      <c r="A82">
        <v>3.5</v>
      </c>
      <c r="B82" t="s">
        <v>326</v>
      </c>
    </row>
    <row r="83" spans="1:4" x14ac:dyDescent="0.25">
      <c r="A83">
        <f>12/A82</f>
        <v>3.4285714285714284</v>
      </c>
      <c r="B83" t="s">
        <v>334</v>
      </c>
    </row>
    <row r="85" spans="1:4" x14ac:dyDescent="0.25">
      <c r="A85" s="41" t="s">
        <v>335</v>
      </c>
    </row>
    <row r="87" spans="1:4" x14ac:dyDescent="0.25">
      <c r="A87" s="8" t="s">
        <v>336</v>
      </c>
    </row>
    <row r="88" spans="1:4" x14ac:dyDescent="0.25">
      <c r="A88" t="s">
        <v>312</v>
      </c>
    </row>
    <row r="89" spans="1:4" x14ac:dyDescent="0.25">
      <c r="A89">
        <v>2.5</v>
      </c>
      <c r="B89" t="s">
        <v>326</v>
      </c>
    </row>
    <row r="90" spans="1:4" x14ac:dyDescent="0.25">
      <c r="A90">
        <f>12/A89</f>
        <v>4.8</v>
      </c>
      <c r="B90" t="s">
        <v>334</v>
      </c>
    </row>
    <row r="92" spans="1:4" x14ac:dyDescent="0.25">
      <c r="A92" s="42" t="s">
        <v>337</v>
      </c>
    </row>
    <row r="93" spans="1:4" ht="45" x14ac:dyDescent="0.25">
      <c r="A93" s="8" t="s">
        <v>329</v>
      </c>
      <c r="B93" s="8" t="s">
        <v>330</v>
      </c>
      <c r="C93" s="10" t="s">
        <v>331</v>
      </c>
      <c r="D93" s="8" t="s">
        <v>339</v>
      </c>
    </row>
    <row r="94" spans="1:4" x14ac:dyDescent="0.25">
      <c r="A94" s="8" t="s">
        <v>338</v>
      </c>
      <c r="B94" s="8">
        <v>24</v>
      </c>
      <c r="C94" s="8">
        <v>20</v>
      </c>
      <c r="D94" s="8">
        <v>4.8</v>
      </c>
    </row>
    <row r="96" spans="1:4" x14ac:dyDescent="0.25">
      <c r="A96">
        <f>B94</f>
        <v>24</v>
      </c>
      <c r="B96" t="s">
        <v>195</v>
      </c>
      <c r="D96" s="5" t="s">
        <v>347</v>
      </c>
    </row>
    <row r="97" spans="1:4" x14ac:dyDescent="0.25">
      <c r="A97" s="25">
        <f>A60</f>
        <v>532</v>
      </c>
      <c r="B97" t="s">
        <v>340</v>
      </c>
    </row>
    <row r="100" spans="1:4" x14ac:dyDescent="0.25">
      <c r="A100" t="s">
        <v>341</v>
      </c>
    </row>
    <row r="101" spans="1:4" x14ac:dyDescent="0.25">
      <c r="A101">
        <f>SQRT(A62)</f>
        <v>2.5787593916455256</v>
      </c>
      <c r="B101" t="s">
        <v>325</v>
      </c>
    </row>
    <row r="104" spans="1:4" x14ac:dyDescent="0.25">
      <c r="A104">
        <f>A96*A101</f>
        <v>61.890225399492614</v>
      </c>
      <c r="B104" t="s">
        <v>343</v>
      </c>
    </row>
    <row r="105" spans="1:4" x14ac:dyDescent="0.25">
      <c r="A105" t="s">
        <v>344</v>
      </c>
    </row>
    <row r="106" spans="1:4" x14ac:dyDescent="0.25">
      <c r="A106">
        <v>62</v>
      </c>
      <c r="B106" t="s">
        <v>345</v>
      </c>
      <c r="C106" s="5" t="s">
        <v>346</v>
      </c>
    </row>
    <row r="107" spans="1:4" x14ac:dyDescent="0.25">
      <c r="A107">
        <v>60</v>
      </c>
      <c r="B107" t="s">
        <v>345</v>
      </c>
      <c r="D107" s="5" t="s">
        <v>348</v>
      </c>
    </row>
    <row r="109" spans="1:4" x14ac:dyDescent="0.25">
      <c r="A109">
        <f>A107/A96</f>
        <v>2.5</v>
      </c>
    </row>
    <row r="112" spans="1:4" x14ac:dyDescent="0.25">
      <c r="A112" t="s">
        <v>349</v>
      </c>
    </row>
    <row r="113" spans="1:7" x14ac:dyDescent="0.25">
      <c r="A113">
        <f>((A96)^2)/((A107)^2)*A60</f>
        <v>85.12</v>
      </c>
    </row>
    <row r="114" spans="1:7" x14ac:dyDescent="0.25">
      <c r="A114" t="s">
        <v>350</v>
      </c>
    </row>
    <row r="118" spans="1:7" x14ac:dyDescent="0.25">
      <c r="A118" s="25"/>
    </row>
    <row r="119" spans="1:7" x14ac:dyDescent="0.25">
      <c r="A119" t="s">
        <v>353</v>
      </c>
    </row>
    <row r="121" spans="1:7" x14ac:dyDescent="0.25">
      <c r="A121" t="s">
        <v>352</v>
      </c>
      <c r="B121" t="s">
        <v>340</v>
      </c>
      <c r="C121" t="s">
        <v>195</v>
      </c>
      <c r="D121" t="s">
        <v>343</v>
      </c>
      <c r="E121" t="s">
        <v>355</v>
      </c>
      <c r="F121" t="s">
        <v>354</v>
      </c>
      <c r="G121" t="s">
        <v>322</v>
      </c>
    </row>
    <row r="122" spans="1:7" x14ac:dyDescent="0.25">
      <c r="A122">
        <v>80</v>
      </c>
      <c r="B122" s="25">
        <f>A97</f>
        <v>532</v>
      </c>
      <c r="C122">
        <f>A96</f>
        <v>24</v>
      </c>
      <c r="D122">
        <f>A107</f>
        <v>60</v>
      </c>
      <c r="E122">
        <f>A109</f>
        <v>2.5</v>
      </c>
      <c r="F122">
        <f>SQRT(G122)</f>
        <v>2.5787593916455256</v>
      </c>
      <c r="G122" s="9">
        <f>A62</f>
        <v>6.65</v>
      </c>
    </row>
    <row r="124" spans="1:7" x14ac:dyDescent="0.25">
      <c r="E124" t="s">
        <v>357</v>
      </c>
    </row>
    <row r="125" spans="1:7" x14ac:dyDescent="0.25">
      <c r="B125">
        <f>(1/(E122))*(1/F122)*B122</f>
        <v>82.520300532656805</v>
      </c>
      <c r="E125" s="5" t="s">
        <v>358</v>
      </c>
    </row>
    <row r="126" spans="1:7" x14ac:dyDescent="0.25">
      <c r="E126">
        <v>2.66</v>
      </c>
    </row>
    <row r="128" spans="1:7" x14ac:dyDescent="0.25">
      <c r="A128" t="s">
        <v>356</v>
      </c>
      <c r="C128" t="s">
        <v>351</v>
      </c>
    </row>
    <row r="129" spans="1:5" x14ac:dyDescent="0.25">
      <c r="A129">
        <v>12</v>
      </c>
      <c r="C129">
        <v>12</v>
      </c>
      <c r="E129">
        <f>$C$129/$A129</f>
        <v>1</v>
      </c>
    </row>
    <row r="130" spans="1:5" x14ac:dyDescent="0.25">
      <c r="A130">
        <v>14</v>
      </c>
      <c r="C130">
        <v>14</v>
      </c>
      <c r="E130">
        <f t="shared" ref="E130:E149" si="0">$C$129/$A130</f>
        <v>0.8571428571428571</v>
      </c>
    </row>
    <row r="131" spans="1:5" x14ac:dyDescent="0.25">
      <c r="A131" s="43">
        <v>15</v>
      </c>
      <c r="C131">
        <v>15</v>
      </c>
      <c r="E131">
        <f t="shared" si="0"/>
        <v>0.8</v>
      </c>
    </row>
    <row r="132" spans="1:5" x14ac:dyDescent="0.25">
      <c r="A132">
        <v>16</v>
      </c>
      <c r="C132">
        <v>16</v>
      </c>
      <c r="E132">
        <f t="shared" si="0"/>
        <v>0.75</v>
      </c>
    </row>
    <row r="133" spans="1:5" x14ac:dyDescent="0.25">
      <c r="A133">
        <v>18</v>
      </c>
      <c r="C133">
        <v>18</v>
      </c>
      <c r="E133">
        <f t="shared" si="0"/>
        <v>0.66666666666666663</v>
      </c>
    </row>
    <row r="134" spans="1:5" x14ac:dyDescent="0.25">
      <c r="A134">
        <v>20</v>
      </c>
      <c r="C134">
        <v>20</v>
      </c>
      <c r="E134">
        <f t="shared" si="0"/>
        <v>0.6</v>
      </c>
    </row>
    <row r="135" spans="1:5" x14ac:dyDescent="0.25">
      <c r="A135">
        <v>24</v>
      </c>
      <c r="C135">
        <v>24</v>
      </c>
      <c r="E135">
        <f t="shared" si="0"/>
        <v>0.5</v>
      </c>
    </row>
    <row r="136" spans="1:5" x14ac:dyDescent="0.25">
      <c r="A136">
        <v>25</v>
      </c>
      <c r="C136">
        <v>25</v>
      </c>
      <c r="E136">
        <f t="shared" si="0"/>
        <v>0.48</v>
      </c>
    </row>
    <row r="137" spans="1:5" x14ac:dyDescent="0.25">
      <c r="A137">
        <v>28</v>
      </c>
      <c r="C137">
        <v>28</v>
      </c>
      <c r="E137">
        <f t="shared" si="0"/>
        <v>0.42857142857142855</v>
      </c>
    </row>
    <row r="138" spans="1:5" x14ac:dyDescent="0.25">
      <c r="A138" s="44">
        <v>30</v>
      </c>
      <c r="C138">
        <v>30</v>
      </c>
      <c r="E138">
        <f t="shared" si="0"/>
        <v>0.4</v>
      </c>
    </row>
    <row r="139" spans="1:5" x14ac:dyDescent="0.25">
      <c r="A139">
        <v>35</v>
      </c>
      <c r="C139">
        <v>35</v>
      </c>
      <c r="E139">
        <f t="shared" si="0"/>
        <v>0.34285714285714286</v>
      </c>
    </row>
    <row r="140" spans="1:5" x14ac:dyDescent="0.25">
      <c r="A140">
        <v>40</v>
      </c>
      <c r="C140">
        <v>40</v>
      </c>
      <c r="E140">
        <f t="shared" si="0"/>
        <v>0.3</v>
      </c>
    </row>
    <row r="141" spans="1:5" x14ac:dyDescent="0.25">
      <c r="A141" s="45">
        <v>45</v>
      </c>
      <c r="C141">
        <v>45</v>
      </c>
      <c r="E141">
        <f t="shared" si="0"/>
        <v>0.26666666666666666</v>
      </c>
    </row>
    <row r="142" spans="1:5" x14ac:dyDescent="0.25">
      <c r="A142">
        <v>50</v>
      </c>
      <c r="C142">
        <v>50</v>
      </c>
      <c r="E142">
        <f t="shared" si="0"/>
        <v>0.24</v>
      </c>
    </row>
    <row r="143" spans="1:5" x14ac:dyDescent="0.25">
      <c r="A143">
        <v>60</v>
      </c>
      <c r="C143">
        <v>60</v>
      </c>
      <c r="E143">
        <f t="shared" si="0"/>
        <v>0.2</v>
      </c>
    </row>
    <row r="144" spans="1:5" x14ac:dyDescent="0.25">
      <c r="A144">
        <v>70</v>
      </c>
      <c r="C144">
        <v>70</v>
      </c>
      <c r="E144">
        <f t="shared" si="0"/>
        <v>0.17142857142857143</v>
      </c>
    </row>
    <row r="145" spans="1:22" x14ac:dyDescent="0.25">
      <c r="A145">
        <v>80</v>
      </c>
      <c r="C145">
        <v>80</v>
      </c>
      <c r="E145">
        <f t="shared" si="0"/>
        <v>0.15</v>
      </c>
    </row>
    <row r="146" spans="1:22" x14ac:dyDescent="0.25">
      <c r="A146">
        <v>90</v>
      </c>
      <c r="C146">
        <v>90</v>
      </c>
      <c r="E146">
        <f t="shared" si="0"/>
        <v>0.13333333333333333</v>
      </c>
    </row>
    <row r="147" spans="1:22" x14ac:dyDescent="0.25">
      <c r="A147">
        <v>100</v>
      </c>
      <c r="C147">
        <v>100</v>
      </c>
      <c r="E147">
        <f t="shared" si="0"/>
        <v>0.12</v>
      </c>
    </row>
    <row r="148" spans="1:22" x14ac:dyDescent="0.25">
      <c r="A148">
        <v>110</v>
      </c>
      <c r="C148">
        <v>110</v>
      </c>
      <c r="E148">
        <f t="shared" si="0"/>
        <v>0.10909090909090909</v>
      </c>
    </row>
    <row r="149" spans="1:22" x14ac:dyDescent="0.25">
      <c r="A149">
        <v>120</v>
      </c>
      <c r="C149">
        <v>120</v>
      </c>
      <c r="E149">
        <f t="shared" si="0"/>
        <v>0.1</v>
      </c>
    </row>
    <row r="152" spans="1:22" x14ac:dyDescent="0.25">
      <c r="A152" t="s">
        <v>351</v>
      </c>
      <c r="B152">
        <v>12</v>
      </c>
      <c r="C152">
        <v>14</v>
      </c>
      <c r="D152">
        <v>15</v>
      </c>
      <c r="E152">
        <v>16</v>
      </c>
      <c r="F152">
        <v>18</v>
      </c>
      <c r="G152">
        <v>20</v>
      </c>
      <c r="H152">
        <v>24</v>
      </c>
      <c r="I152">
        <v>25</v>
      </c>
      <c r="J152">
        <v>28</v>
      </c>
      <c r="K152">
        <v>30</v>
      </c>
      <c r="L152">
        <v>35</v>
      </c>
      <c r="M152">
        <v>40</v>
      </c>
      <c r="N152">
        <v>45</v>
      </c>
      <c r="O152">
        <v>50</v>
      </c>
      <c r="P152">
        <v>60</v>
      </c>
      <c r="Q152">
        <v>70</v>
      </c>
      <c r="R152">
        <v>80</v>
      </c>
      <c r="S152">
        <v>90</v>
      </c>
      <c r="T152">
        <v>100</v>
      </c>
      <c r="U152">
        <v>110</v>
      </c>
      <c r="V152">
        <v>120</v>
      </c>
    </row>
    <row r="153" spans="1:22" x14ac:dyDescent="0.25">
      <c r="A153" t="s">
        <v>351</v>
      </c>
      <c r="B153">
        <v>12</v>
      </c>
      <c r="C153">
        <v>14</v>
      </c>
      <c r="D153">
        <v>15</v>
      </c>
      <c r="E153">
        <v>16</v>
      </c>
      <c r="F153">
        <v>18</v>
      </c>
      <c r="G153">
        <v>20</v>
      </c>
      <c r="H153">
        <v>24</v>
      </c>
      <c r="I153">
        <v>25</v>
      </c>
      <c r="J153">
        <v>28</v>
      </c>
      <c r="K153">
        <v>30</v>
      </c>
      <c r="L153">
        <v>35</v>
      </c>
      <c r="M153">
        <v>40</v>
      </c>
      <c r="N153">
        <v>45</v>
      </c>
      <c r="O153">
        <v>50</v>
      </c>
      <c r="P153">
        <v>60</v>
      </c>
      <c r="Q153">
        <v>70</v>
      </c>
      <c r="R153">
        <v>80</v>
      </c>
      <c r="S153">
        <v>90</v>
      </c>
      <c r="T153">
        <v>100</v>
      </c>
      <c r="U153">
        <v>110</v>
      </c>
      <c r="V153">
        <v>120</v>
      </c>
    </row>
    <row r="154" spans="1:22" x14ac:dyDescent="0.25">
      <c r="A154" t="s">
        <v>351</v>
      </c>
      <c r="B154">
        <v>12</v>
      </c>
      <c r="C154">
        <v>14</v>
      </c>
      <c r="D154">
        <v>15</v>
      </c>
      <c r="E154">
        <v>16</v>
      </c>
      <c r="F154">
        <v>18</v>
      </c>
      <c r="G154">
        <v>20</v>
      </c>
      <c r="H154">
        <v>24</v>
      </c>
      <c r="I154">
        <v>25</v>
      </c>
      <c r="J154">
        <v>28</v>
      </c>
      <c r="K154">
        <v>30</v>
      </c>
      <c r="L154">
        <v>35</v>
      </c>
      <c r="M154" s="43">
        <v>40</v>
      </c>
      <c r="N154">
        <v>45</v>
      </c>
      <c r="O154">
        <v>50</v>
      </c>
      <c r="P154">
        <v>60</v>
      </c>
      <c r="Q154">
        <v>70</v>
      </c>
      <c r="R154">
        <v>80</v>
      </c>
      <c r="S154">
        <v>90</v>
      </c>
      <c r="T154">
        <v>100</v>
      </c>
      <c r="U154">
        <v>110</v>
      </c>
      <c r="V154">
        <v>120</v>
      </c>
    </row>
    <row r="155" spans="1:22" x14ac:dyDescent="0.25">
      <c r="A155" t="s">
        <v>351</v>
      </c>
      <c r="B155">
        <v>12</v>
      </c>
      <c r="C155">
        <v>14</v>
      </c>
      <c r="D155">
        <v>15</v>
      </c>
      <c r="E155">
        <v>16</v>
      </c>
      <c r="F155">
        <v>18</v>
      </c>
      <c r="G155">
        <v>20</v>
      </c>
      <c r="H155">
        <v>24</v>
      </c>
      <c r="I155">
        <v>25</v>
      </c>
      <c r="J155">
        <v>28</v>
      </c>
      <c r="K155">
        <v>30</v>
      </c>
      <c r="L155">
        <v>35</v>
      </c>
      <c r="M155">
        <v>40</v>
      </c>
      <c r="N155">
        <v>45</v>
      </c>
      <c r="O155">
        <v>50</v>
      </c>
      <c r="P155">
        <v>60</v>
      </c>
      <c r="Q155">
        <v>70</v>
      </c>
      <c r="R155">
        <v>80</v>
      </c>
      <c r="S155">
        <v>90</v>
      </c>
      <c r="T155">
        <v>100</v>
      </c>
      <c r="U155">
        <v>110</v>
      </c>
      <c r="V155">
        <v>120</v>
      </c>
    </row>
    <row r="156" spans="1:22" x14ac:dyDescent="0.25">
      <c r="A156" t="s">
        <v>351</v>
      </c>
      <c r="B156">
        <v>12</v>
      </c>
      <c r="C156">
        <v>14</v>
      </c>
      <c r="D156">
        <v>15</v>
      </c>
      <c r="E156">
        <v>16</v>
      </c>
      <c r="F156">
        <v>18</v>
      </c>
      <c r="G156">
        <v>20</v>
      </c>
      <c r="H156">
        <v>24</v>
      </c>
      <c r="I156">
        <v>25</v>
      </c>
      <c r="J156">
        <v>28</v>
      </c>
      <c r="K156">
        <v>30</v>
      </c>
      <c r="L156">
        <v>35</v>
      </c>
      <c r="M156">
        <v>40</v>
      </c>
      <c r="N156">
        <v>45</v>
      </c>
      <c r="O156">
        <v>50</v>
      </c>
      <c r="P156">
        <v>60</v>
      </c>
      <c r="Q156">
        <v>70</v>
      </c>
      <c r="R156">
        <v>80</v>
      </c>
      <c r="S156">
        <v>90</v>
      </c>
      <c r="T156">
        <v>100</v>
      </c>
      <c r="U156">
        <v>110</v>
      </c>
      <c r="V156">
        <v>120</v>
      </c>
    </row>
    <row r="157" spans="1:22" x14ac:dyDescent="0.25">
      <c r="A157" t="s">
        <v>351</v>
      </c>
      <c r="B157">
        <v>12</v>
      </c>
      <c r="C157">
        <v>14</v>
      </c>
      <c r="D157">
        <v>15</v>
      </c>
      <c r="E157">
        <v>16</v>
      </c>
      <c r="F157">
        <v>18</v>
      </c>
      <c r="G157">
        <v>20</v>
      </c>
      <c r="H157">
        <v>24</v>
      </c>
      <c r="I157">
        <v>25</v>
      </c>
      <c r="J157">
        <v>28</v>
      </c>
      <c r="K157">
        <v>30</v>
      </c>
      <c r="L157">
        <v>35</v>
      </c>
      <c r="M157">
        <v>40</v>
      </c>
      <c r="N157">
        <v>45</v>
      </c>
      <c r="O157">
        <v>50</v>
      </c>
      <c r="P157">
        <v>60</v>
      </c>
      <c r="Q157">
        <v>70</v>
      </c>
      <c r="R157">
        <v>80</v>
      </c>
      <c r="S157">
        <v>90</v>
      </c>
      <c r="T157">
        <v>100</v>
      </c>
      <c r="U157">
        <v>110</v>
      </c>
      <c r="V157">
        <v>120</v>
      </c>
    </row>
    <row r="158" spans="1:22" x14ac:dyDescent="0.25">
      <c r="A158" t="s">
        <v>351</v>
      </c>
      <c r="B158">
        <v>12</v>
      </c>
      <c r="C158">
        <v>14</v>
      </c>
      <c r="D158">
        <v>15</v>
      </c>
      <c r="E158">
        <v>16</v>
      </c>
      <c r="F158">
        <v>18</v>
      </c>
      <c r="G158">
        <v>20</v>
      </c>
      <c r="H158">
        <v>24</v>
      </c>
      <c r="I158">
        <v>25</v>
      </c>
      <c r="J158">
        <v>28</v>
      </c>
      <c r="K158">
        <v>30</v>
      </c>
      <c r="L158">
        <v>35</v>
      </c>
      <c r="M158">
        <v>40</v>
      </c>
      <c r="N158">
        <v>45</v>
      </c>
      <c r="O158">
        <v>50</v>
      </c>
      <c r="P158">
        <v>60</v>
      </c>
      <c r="Q158">
        <v>70</v>
      </c>
      <c r="R158">
        <v>80</v>
      </c>
      <c r="S158">
        <v>90</v>
      </c>
      <c r="T158">
        <v>100</v>
      </c>
      <c r="U158">
        <v>110</v>
      </c>
      <c r="V158">
        <v>120</v>
      </c>
    </row>
    <row r="159" spans="1:22" x14ac:dyDescent="0.25">
      <c r="A159" t="s">
        <v>351</v>
      </c>
      <c r="B159">
        <v>12</v>
      </c>
      <c r="C159">
        <v>14</v>
      </c>
      <c r="D159">
        <v>15</v>
      </c>
      <c r="E159">
        <v>16</v>
      </c>
      <c r="F159">
        <v>18</v>
      </c>
      <c r="G159">
        <v>20</v>
      </c>
      <c r="H159">
        <v>24</v>
      </c>
      <c r="I159">
        <v>25</v>
      </c>
      <c r="J159">
        <v>28</v>
      </c>
      <c r="K159">
        <v>30</v>
      </c>
      <c r="L159">
        <v>35</v>
      </c>
      <c r="M159">
        <v>40</v>
      </c>
      <c r="N159">
        <v>45</v>
      </c>
      <c r="O159">
        <v>50</v>
      </c>
      <c r="P159">
        <v>60</v>
      </c>
      <c r="Q159">
        <v>70</v>
      </c>
      <c r="R159">
        <v>80</v>
      </c>
      <c r="S159">
        <v>90</v>
      </c>
      <c r="T159">
        <v>100</v>
      </c>
      <c r="U159">
        <v>110</v>
      </c>
      <c r="V159">
        <v>120</v>
      </c>
    </row>
    <row r="160" spans="1:22" x14ac:dyDescent="0.25">
      <c r="A160" t="s">
        <v>351</v>
      </c>
      <c r="B160">
        <v>12</v>
      </c>
      <c r="C160">
        <v>14</v>
      </c>
      <c r="D160">
        <v>15</v>
      </c>
      <c r="E160">
        <v>16</v>
      </c>
      <c r="F160">
        <v>18</v>
      </c>
      <c r="G160">
        <v>20</v>
      </c>
      <c r="H160">
        <v>24</v>
      </c>
      <c r="I160">
        <v>25</v>
      </c>
      <c r="J160">
        <v>28</v>
      </c>
      <c r="K160">
        <v>30</v>
      </c>
      <c r="L160">
        <v>35</v>
      </c>
      <c r="M160">
        <v>40</v>
      </c>
      <c r="N160">
        <v>45</v>
      </c>
      <c r="O160">
        <v>50</v>
      </c>
      <c r="P160">
        <v>60</v>
      </c>
      <c r="Q160">
        <v>70</v>
      </c>
      <c r="R160">
        <v>80</v>
      </c>
      <c r="S160">
        <v>90</v>
      </c>
      <c r="T160">
        <v>100</v>
      </c>
      <c r="U160">
        <v>110</v>
      </c>
      <c r="V160">
        <v>120</v>
      </c>
    </row>
    <row r="161" spans="1:22" x14ac:dyDescent="0.25">
      <c r="A161" t="s">
        <v>351</v>
      </c>
      <c r="B161">
        <v>12</v>
      </c>
      <c r="C161">
        <v>14</v>
      </c>
      <c r="D161">
        <v>15</v>
      </c>
      <c r="E161">
        <v>16</v>
      </c>
      <c r="F161">
        <v>18</v>
      </c>
      <c r="G161">
        <v>20</v>
      </c>
      <c r="H161">
        <v>24</v>
      </c>
      <c r="I161">
        <v>25</v>
      </c>
      <c r="J161">
        <v>28</v>
      </c>
      <c r="K161">
        <v>30</v>
      </c>
      <c r="L161">
        <v>35</v>
      </c>
      <c r="M161">
        <v>40</v>
      </c>
      <c r="N161">
        <v>45</v>
      </c>
      <c r="O161">
        <v>50</v>
      </c>
      <c r="P161">
        <v>60</v>
      </c>
      <c r="Q161">
        <v>70</v>
      </c>
      <c r="R161" s="44">
        <v>80</v>
      </c>
      <c r="S161">
        <v>90</v>
      </c>
      <c r="T161">
        <v>100</v>
      </c>
      <c r="U161">
        <v>110</v>
      </c>
      <c r="V161">
        <v>120</v>
      </c>
    </row>
    <row r="162" spans="1:22" x14ac:dyDescent="0.25">
      <c r="A162" t="s">
        <v>351</v>
      </c>
      <c r="B162">
        <v>12</v>
      </c>
      <c r="C162">
        <v>14</v>
      </c>
      <c r="D162">
        <v>15</v>
      </c>
      <c r="E162">
        <v>16</v>
      </c>
      <c r="F162">
        <v>18</v>
      </c>
      <c r="G162">
        <v>20</v>
      </c>
      <c r="H162">
        <v>24</v>
      </c>
      <c r="I162">
        <v>25</v>
      </c>
      <c r="J162">
        <v>28</v>
      </c>
      <c r="K162">
        <v>30</v>
      </c>
      <c r="L162">
        <v>35</v>
      </c>
      <c r="M162">
        <v>40</v>
      </c>
      <c r="N162">
        <v>45</v>
      </c>
      <c r="O162">
        <v>50</v>
      </c>
      <c r="P162">
        <v>60</v>
      </c>
      <c r="Q162">
        <v>70</v>
      </c>
      <c r="R162">
        <v>80</v>
      </c>
      <c r="S162">
        <v>90</v>
      </c>
      <c r="T162">
        <v>100</v>
      </c>
      <c r="U162">
        <v>110</v>
      </c>
      <c r="V162">
        <v>120</v>
      </c>
    </row>
    <row r="163" spans="1:22" x14ac:dyDescent="0.25">
      <c r="A163" t="s">
        <v>351</v>
      </c>
      <c r="B163">
        <v>12</v>
      </c>
      <c r="C163">
        <v>14</v>
      </c>
      <c r="D163">
        <v>15</v>
      </c>
      <c r="E163">
        <v>16</v>
      </c>
      <c r="F163">
        <v>18</v>
      </c>
      <c r="G163">
        <v>20</v>
      </c>
      <c r="H163">
        <v>24</v>
      </c>
      <c r="I163">
        <v>25</v>
      </c>
      <c r="J163">
        <v>28</v>
      </c>
      <c r="K163">
        <v>30</v>
      </c>
      <c r="L163">
        <v>35</v>
      </c>
      <c r="M163">
        <v>40</v>
      </c>
      <c r="N163">
        <v>45</v>
      </c>
      <c r="O163">
        <v>50</v>
      </c>
      <c r="P163">
        <v>60</v>
      </c>
      <c r="Q163">
        <v>70</v>
      </c>
      <c r="R163">
        <v>80</v>
      </c>
      <c r="S163">
        <v>90</v>
      </c>
      <c r="T163">
        <v>100</v>
      </c>
      <c r="U163">
        <v>110</v>
      </c>
      <c r="V163">
        <v>120</v>
      </c>
    </row>
    <row r="164" spans="1:22" x14ac:dyDescent="0.25">
      <c r="A164" t="s">
        <v>351</v>
      </c>
      <c r="B164">
        <v>12</v>
      </c>
      <c r="C164">
        <v>14</v>
      </c>
      <c r="D164">
        <v>15</v>
      </c>
      <c r="E164">
        <v>16</v>
      </c>
      <c r="F164">
        <v>18</v>
      </c>
      <c r="G164">
        <v>20</v>
      </c>
      <c r="H164">
        <v>24</v>
      </c>
      <c r="I164">
        <v>25</v>
      </c>
      <c r="J164">
        <v>28</v>
      </c>
      <c r="K164">
        <v>30</v>
      </c>
      <c r="L164">
        <v>35</v>
      </c>
      <c r="M164">
        <v>40</v>
      </c>
      <c r="N164">
        <v>45</v>
      </c>
      <c r="O164">
        <v>50</v>
      </c>
      <c r="P164">
        <v>60</v>
      </c>
      <c r="Q164">
        <v>70</v>
      </c>
      <c r="R164">
        <v>80</v>
      </c>
      <c r="S164">
        <v>90</v>
      </c>
      <c r="T164">
        <v>100</v>
      </c>
      <c r="U164">
        <v>110</v>
      </c>
      <c r="V164" s="45">
        <v>120</v>
      </c>
    </row>
    <row r="165" spans="1:22" x14ac:dyDescent="0.25">
      <c r="A165" t="s">
        <v>351</v>
      </c>
      <c r="B165">
        <v>12</v>
      </c>
      <c r="C165">
        <v>14</v>
      </c>
      <c r="D165">
        <v>15</v>
      </c>
      <c r="E165">
        <v>16</v>
      </c>
      <c r="F165">
        <v>18</v>
      </c>
      <c r="G165">
        <v>20</v>
      </c>
      <c r="H165">
        <v>24</v>
      </c>
      <c r="I165">
        <v>25</v>
      </c>
      <c r="J165">
        <v>28</v>
      </c>
      <c r="K165">
        <v>30</v>
      </c>
      <c r="L165">
        <v>35</v>
      </c>
      <c r="M165">
        <v>40</v>
      </c>
      <c r="N165">
        <v>45</v>
      </c>
      <c r="O165">
        <v>50</v>
      </c>
      <c r="P165">
        <v>60</v>
      </c>
      <c r="Q165">
        <v>70</v>
      </c>
      <c r="R165">
        <v>80</v>
      </c>
      <c r="S165">
        <v>90</v>
      </c>
      <c r="T165">
        <v>100</v>
      </c>
      <c r="U165">
        <v>110</v>
      </c>
      <c r="V165">
        <v>120</v>
      </c>
    </row>
    <row r="166" spans="1:22" x14ac:dyDescent="0.25">
      <c r="A166" t="s">
        <v>351</v>
      </c>
      <c r="B166">
        <v>12</v>
      </c>
      <c r="C166">
        <v>14</v>
      </c>
      <c r="D166">
        <v>15</v>
      </c>
      <c r="E166">
        <v>16</v>
      </c>
      <c r="F166">
        <v>18</v>
      </c>
      <c r="G166">
        <v>20</v>
      </c>
      <c r="H166">
        <v>24</v>
      </c>
      <c r="I166">
        <v>25</v>
      </c>
      <c r="J166">
        <v>28</v>
      </c>
      <c r="K166">
        <v>30</v>
      </c>
      <c r="L166">
        <v>35</v>
      </c>
      <c r="M166">
        <v>40</v>
      </c>
      <c r="N166">
        <v>45</v>
      </c>
      <c r="O166">
        <v>50</v>
      </c>
      <c r="P166">
        <v>60</v>
      </c>
      <c r="Q166">
        <v>70</v>
      </c>
      <c r="R166">
        <v>80</v>
      </c>
      <c r="S166">
        <v>90</v>
      </c>
      <c r="T166">
        <v>100</v>
      </c>
      <c r="U166">
        <v>110</v>
      </c>
      <c r="V166">
        <v>120</v>
      </c>
    </row>
    <row r="167" spans="1:22" x14ac:dyDescent="0.25">
      <c r="A167" t="s">
        <v>351</v>
      </c>
      <c r="B167">
        <v>12</v>
      </c>
      <c r="C167">
        <v>14</v>
      </c>
      <c r="D167">
        <v>15</v>
      </c>
      <c r="E167">
        <v>16</v>
      </c>
      <c r="F167">
        <v>18</v>
      </c>
      <c r="G167">
        <v>20</v>
      </c>
      <c r="H167">
        <v>24</v>
      </c>
      <c r="I167">
        <v>25</v>
      </c>
      <c r="J167">
        <v>28</v>
      </c>
      <c r="K167">
        <v>30</v>
      </c>
      <c r="L167">
        <v>35</v>
      </c>
      <c r="M167">
        <v>40</v>
      </c>
      <c r="N167">
        <v>45</v>
      </c>
      <c r="O167">
        <v>50</v>
      </c>
      <c r="P167">
        <v>60</v>
      </c>
      <c r="Q167">
        <v>70</v>
      </c>
      <c r="R167">
        <v>80</v>
      </c>
      <c r="S167">
        <v>90</v>
      </c>
      <c r="T167">
        <v>100</v>
      </c>
      <c r="U167">
        <v>110</v>
      </c>
      <c r="V167">
        <v>120</v>
      </c>
    </row>
    <row r="168" spans="1:22" x14ac:dyDescent="0.25">
      <c r="A168" t="s">
        <v>351</v>
      </c>
      <c r="B168">
        <v>12</v>
      </c>
      <c r="C168">
        <v>14</v>
      </c>
      <c r="D168">
        <v>15</v>
      </c>
      <c r="E168">
        <v>16</v>
      </c>
      <c r="F168">
        <v>18</v>
      </c>
      <c r="G168">
        <v>20</v>
      </c>
      <c r="H168">
        <v>24</v>
      </c>
      <c r="I168">
        <v>25</v>
      </c>
      <c r="J168">
        <v>28</v>
      </c>
      <c r="K168">
        <v>30</v>
      </c>
      <c r="L168">
        <v>35</v>
      </c>
      <c r="M168">
        <v>40</v>
      </c>
      <c r="N168">
        <v>45</v>
      </c>
      <c r="O168">
        <v>50</v>
      </c>
      <c r="P168">
        <v>60</v>
      </c>
      <c r="Q168">
        <v>70</v>
      </c>
      <c r="R168">
        <v>80</v>
      </c>
      <c r="S168">
        <v>90</v>
      </c>
      <c r="T168">
        <v>100</v>
      </c>
      <c r="U168">
        <v>110</v>
      </c>
      <c r="V168">
        <v>120</v>
      </c>
    </row>
    <row r="169" spans="1:22" x14ac:dyDescent="0.25">
      <c r="A169" t="s">
        <v>351</v>
      </c>
      <c r="B169">
        <v>12</v>
      </c>
      <c r="C169">
        <v>14</v>
      </c>
      <c r="D169">
        <v>15</v>
      </c>
      <c r="E169">
        <v>16</v>
      </c>
      <c r="F169">
        <v>18</v>
      </c>
      <c r="G169">
        <v>20</v>
      </c>
      <c r="H169">
        <v>24</v>
      </c>
      <c r="I169">
        <v>25</v>
      </c>
      <c r="J169">
        <v>28</v>
      </c>
      <c r="K169">
        <v>30</v>
      </c>
      <c r="L169">
        <v>35</v>
      </c>
      <c r="M169">
        <v>40</v>
      </c>
      <c r="N169">
        <v>45</v>
      </c>
      <c r="O169">
        <v>50</v>
      </c>
      <c r="P169">
        <v>60</v>
      </c>
      <c r="Q169">
        <v>70</v>
      </c>
      <c r="R169">
        <v>80</v>
      </c>
      <c r="S169">
        <v>90</v>
      </c>
      <c r="T169">
        <v>100</v>
      </c>
      <c r="U169">
        <v>110</v>
      </c>
      <c r="V169">
        <v>120</v>
      </c>
    </row>
    <row r="170" spans="1:22" x14ac:dyDescent="0.25">
      <c r="A170" t="s">
        <v>351</v>
      </c>
      <c r="B170">
        <v>12</v>
      </c>
      <c r="C170">
        <v>14</v>
      </c>
      <c r="D170">
        <v>15</v>
      </c>
      <c r="E170">
        <v>16</v>
      </c>
      <c r="F170">
        <v>18</v>
      </c>
      <c r="G170">
        <v>20</v>
      </c>
      <c r="H170">
        <v>24</v>
      </c>
      <c r="I170">
        <v>25</v>
      </c>
      <c r="J170">
        <v>28</v>
      </c>
      <c r="K170">
        <v>30</v>
      </c>
      <c r="L170">
        <v>35</v>
      </c>
      <c r="M170">
        <v>40</v>
      </c>
      <c r="N170">
        <v>45</v>
      </c>
      <c r="O170">
        <v>50</v>
      </c>
      <c r="P170">
        <v>60</v>
      </c>
      <c r="Q170">
        <v>70</v>
      </c>
      <c r="R170">
        <v>80</v>
      </c>
      <c r="S170">
        <v>90</v>
      </c>
      <c r="T170">
        <v>100</v>
      </c>
      <c r="U170">
        <v>110</v>
      </c>
      <c r="V170">
        <v>120</v>
      </c>
    </row>
    <row r="171" spans="1:22" x14ac:dyDescent="0.25">
      <c r="A171" t="s">
        <v>351</v>
      </c>
      <c r="B171">
        <v>12</v>
      </c>
      <c r="C171">
        <v>14</v>
      </c>
      <c r="D171">
        <v>15</v>
      </c>
      <c r="E171">
        <v>16</v>
      </c>
      <c r="F171">
        <v>18</v>
      </c>
      <c r="G171">
        <v>20</v>
      </c>
      <c r="H171">
        <v>24</v>
      </c>
      <c r="I171">
        <v>25</v>
      </c>
      <c r="J171">
        <v>28</v>
      </c>
      <c r="K171">
        <v>30</v>
      </c>
      <c r="L171">
        <v>35</v>
      </c>
      <c r="M171">
        <v>40</v>
      </c>
      <c r="N171">
        <v>45</v>
      </c>
      <c r="O171">
        <v>50</v>
      </c>
      <c r="P171">
        <v>60</v>
      </c>
      <c r="Q171">
        <v>70</v>
      </c>
      <c r="R171">
        <v>80</v>
      </c>
      <c r="S171">
        <v>90</v>
      </c>
      <c r="T171">
        <v>100</v>
      </c>
      <c r="U171">
        <v>110</v>
      </c>
      <c r="V171">
        <v>120</v>
      </c>
    </row>
    <row r="173" spans="1:22" x14ac:dyDescent="0.25">
      <c r="B173">
        <f>B152/$A129</f>
        <v>1</v>
      </c>
      <c r="C173">
        <f>C152/$A129</f>
        <v>1.1666666666666667</v>
      </c>
      <c r="D173">
        <f t="shared" ref="D173:V173" si="1">D152/$A129</f>
        <v>1.25</v>
      </c>
      <c r="E173">
        <f t="shared" si="1"/>
        <v>1.3333333333333333</v>
      </c>
      <c r="F173">
        <f t="shared" si="1"/>
        <v>1.5</v>
      </c>
      <c r="G173">
        <f t="shared" si="1"/>
        <v>1.6666666666666667</v>
      </c>
      <c r="H173">
        <f t="shared" si="1"/>
        <v>2</v>
      </c>
      <c r="I173">
        <f t="shared" si="1"/>
        <v>2.0833333333333335</v>
      </c>
      <c r="J173">
        <f t="shared" si="1"/>
        <v>2.3333333333333335</v>
      </c>
      <c r="K173">
        <f t="shared" si="1"/>
        <v>2.5</v>
      </c>
      <c r="L173">
        <f t="shared" si="1"/>
        <v>2.9166666666666665</v>
      </c>
      <c r="M173">
        <f t="shared" si="1"/>
        <v>3.3333333333333335</v>
      </c>
      <c r="N173">
        <f t="shared" si="1"/>
        <v>3.75</v>
      </c>
      <c r="O173">
        <f t="shared" si="1"/>
        <v>4.166666666666667</v>
      </c>
      <c r="P173">
        <f t="shared" si="1"/>
        <v>5</v>
      </c>
      <c r="Q173">
        <f t="shared" si="1"/>
        <v>5.833333333333333</v>
      </c>
      <c r="R173">
        <f t="shared" si="1"/>
        <v>6.666666666666667</v>
      </c>
      <c r="S173">
        <f t="shared" si="1"/>
        <v>7.5</v>
      </c>
      <c r="T173">
        <f t="shared" si="1"/>
        <v>8.3333333333333339</v>
      </c>
      <c r="U173">
        <f t="shared" si="1"/>
        <v>9.1666666666666661</v>
      </c>
      <c r="V173">
        <f t="shared" si="1"/>
        <v>10</v>
      </c>
    </row>
    <row r="174" spans="1:22" x14ac:dyDescent="0.25">
      <c r="B174">
        <f t="shared" ref="B174:C193" si="2">B153/$A130</f>
        <v>0.8571428571428571</v>
      </c>
      <c r="C174">
        <f t="shared" si="2"/>
        <v>1</v>
      </c>
      <c r="D174">
        <f t="shared" ref="D174:V174" si="3">D153/$A130</f>
        <v>1.0714285714285714</v>
      </c>
      <c r="E174">
        <f t="shared" si="3"/>
        <v>1.1428571428571428</v>
      </c>
      <c r="F174">
        <f t="shared" si="3"/>
        <v>1.2857142857142858</v>
      </c>
      <c r="G174">
        <f t="shared" si="3"/>
        <v>1.4285714285714286</v>
      </c>
      <c r="H174">
        <f t="shared" si="3"/>
        <v>1.7142857142857142</v>
      </c>
      <c r="I174">
        <f t="shared" si="3"/>
        <v>1.7857142857142858</v>
      </c>
      <c r="J174">
        <f t="shared" si="3"/>
        <v>2</v>
      </c>
      <c r="K174">
        <f t="shared" si="3"/>
        <v>2.1428571428571428</v>
      </c>
      <c r="L174">
        <f t="shared" si="3"/>
        <v>2.5</v>
      </c>
      <c r="M174">
        <f t="shared" si="3"/>
        <v>2.8571428571428572</v>
      </c>
      <c r="N174">
        <f t="shared" si="3"/>
        <v>3.2142857142857144</v>
      </c>
      <c r="O174">
        <f t="shared" si="3"/>
        <v>3.5714285714285716</v>
      </c>
      <c r="P174">
        <f t="shared" si="3"/>
        <v>4.2857142857142856</v>
      </c>
      <c r="Q174">
        <f t="shared" si="3"/>
        <v>5</v>
      </c>
      <c r="R174">
        <f t="shared" si="3"/>
        <v>5.7142857142857144</v>
      </c>
      <c r="S174">
        <f t="shared" si="3"/>
        <v>6.4285714285714288</v>
      </c>
      <c r="T174">
        <f t="shared" si="3"/>
        <v>7.1428571428571432</v>
      </c>
      <c r="U174">
        <f t="shared" si="3"/>
        <v>7.8571428571428568</v>
      </c>
      <c r="V174">
        <f t="shared" si="3"/>
        <v>8.5714285714285712</v>
      </c>
    </row>
    <row r="175" spans="1:22" x14ac:dyDescent="0.25">
      <c r="B175">
        <f t="shared" si="2"/>
        <v>0.8</v>
      </c>
      <c r="C175">
        <f t="shared" si="2"/>
        <v>0.93333333333333335</v>
      </c>
      <c r="D175">
        <f t="shared" ref="D175:V175" si="4">D154/$A131</f>
        <v>1</v>
      </c>
      <c r="E175">
        <f t="shared" si="4"/>
        <v>1.0666666666666667</v>
      </c>
      <c r="F175">
        <f t="shared" si="4"/>
        <v>1.2</v>
      </c>
      <c r="G175">
        <f t="shared" si="4"/>
        <v>1.3333333333333333</v>
      </c>
      <c r="H175">
        <f t="shared" si="4"/>
        <v>1.6</v>
      </c>
      <c r="I175">
        <f t="shared" si="4"/>
        <v>1.6666666666666667</v>
      </c>
      <c r="J175">
        <f t="shared" si="4"/>
        <v>1.8666666666666667</v>
      </c>
      <c r="K175">
        <f t="shared" si="4"/>
        <v>2</v>
      </c>
      <c r="L175">
        <f t="shared" si="4"/>
        <v>2.3333333333333335</v>
      </c>
      <c r="M175">
        <f>M154/$A131</f>
        <v>2.6666666666666665</v>
      </c>
      <c r="N175">
        <f t="shared" si="4"/>
        <v>3</v>
      </c>
      <c r="O175">
        <f t="shared" si="4"/>
        <v>3.3333333333333335</v>
      </c>
      <c r="P175">
        <f t="shared" si="4"/>
        <v>4</v>
      </c>
      <c r="Q175">
        <f t="shared" si="4"/>
        <v>4.666666666666667</v>
      </c>
      <c r="R175">
        <f t="shared" si="4"/>
        <v>5.333333333333333</v>
      </c>
      <c r="S175">
        <f t="shared" si="4"/>
        <v>6</v>
      </c>
      <c r="T175">
        <f t="shared" si="4"/>
        <v>6.666666666666667</v>
      </c>
      <c r="U175">
        <f t="shared" si="4"/>
        <v>7.333333333333333</v>
      </c>
      <c r="V175">
        <f t="shared" si="4"/>
        <v>8</v>
      </c>
    </row>
    <row r="176" spans="1:22" x14ac:dyDescent="0.25">
      <c r="B176">
        <f t="shared" si="2"/>
        <v>0.75</v>
      </c>
      <c r="C176">
        <f t="shared" si="2"/>
        <v>0.875</v>
      </c>
      <c r="D176">
        <f t="shared" ref="D176:V176" si="5">D155/$A132</f>
        <v>0.9375</v>
      </c>
      <c r="E176">
        <f t="shared" si="5"/>
        <v>1</v>
      </c>
      <c r="F176">
        <f t="shared" si="5"/>
        <v>1.125</v>
      </c>
      <c r="G176">
        <f t="shared" si="5"/>
        <v>1.25</v>
      </c>
      <c r="H176">
        <f t="shared" si="5"/>
        <v>1.5</v>
      </c>
      <c r="I176">
        <f t="shared" si="5"/>
        <v>1.5625</v>
      </c>
      <c r="J176">
        <f t="shared" si="5"/>
        <v>1.75</v>
      </c>
      <c r="K176">
        <f t="shared" si="5"/>
        <v>1.875</v>
      </c>
      <c r="L176">
        <f t="shared" si="5"/>
        <v>2.1875</v>
      </c>
      <c r="M176">
        <f t="shared" si="5"/>
        <v>2.5</v>
      </c>
      <c r="N176">
        <f t="shared" si="5"/>
        <v>2.8125</v>
      </c>
      <c r="O176">
        <f t="shared" si="5"/>
        <v>3.125</v>
      </c>
      <c r="P176">
        <f t="shared" si="5"/>
        <v>3.75</v>
      </c>
      <c r="Q176">
        <f t="shared" si="5"/>
        <v>4.375</v>
      </c>
      <c r="R176">
        <f t="shared" si="5"/>
        <v>5</v>
      </c>
      <c r="S176">
        <f t="shared" si="5"/>
        <v>5.625</v>
      </c>
      <c r="T176">
        <f t="shared" si="5"/>
        <v>6.25</v>
      </c>
      <c r="U176">
        <f t="shared" si="5"/>
        <v>6.875</v>
      </c>
      <c r="V176">
        <f t="shared" si="5"/>
        <v>7.5</v>
      </c>
    </row>
    <row r="177" spans="2:22" x14ac:dyDescent="0.25">
      <c r="B177">
        <f t="shared" si="2"/>
        <v>0.66666666666666663</v>
      </c>
      <c r="C177">
        <f t="shared" si="2"/>
        <v>0.77777777777777779</v>
      </c>
      <c r="D177">
        <f t="shared" ref="D177:V177" si="6">D156/$A133</f>
        <v>0.83333333333333337</v>
      </c>
      <c r="E177">
        <f t="shared" si="6"/>
        <v>0.88888888888888884</v>
      </c>
      <c r="F177">
        <f t="shared" si="6"/>
        <v>1</v>
      </c>
      <c r="G177">
        <f t="shared" si="6"/>
        <v>1.1111111111111112</v>
      </c>
      <c r="H177">
        <f t="shared" si="6"/>
        <v>1.3333333333333333</v>
      </c>
      <c r="I177">
        <f t="shared" si="6"/>
        <v>1.3888888888888888</v>
      </c>
      <c r="J177">
        <f t="shared" si="6"/>
        <v>1.5555555555555556</v>
      </c>
      <c r="K177">
        <f t="shared" si="6"/>
        <v>1.6666666666666667</v>
      </c>
      <c r="L177">
        <f t="shared" si="6"/>
        <v>1.9444444444444444</v>
      </c>
      <c r="M177">
        <f t="shared" si="6"/>
        <v>2.2222222222222223</v>
      </c>
      <c r="N177">
        <f t="shared" si="6"/>
        <v>2.5</v>
      </c>
      <c r="O177">
        <f t="shared" si="6"/>
        <v>2.7777777777777777</v>
      </c>
      <c r="P177">
        <f t="shared" si="6"/>
        <v>3.3333333333333335</v>
      </c>
      <c r="Q177">
        <f t="shared" si="6"/>
        <v>3.8888888888888888</v>
      </c>
      <c r="R177">
        <f t="shared" si="6"/>
        <v>4.4444444444444446</v>
      </c>
      <c r="S177">
        <f t="shared" si="6"/>
        <v>5</v>
      </c>
      <c r="T177">
        <f t="shared" si="6"/>
        <v>5.5555555555555554</v>
      </c>
      <c r="U177">
        <f t="shared" si="6"/>
        <v>6.1111111111111107</v>
      </c>
      <c r="V177">
        <f t="shared" si="6"/>
        <v>6.666666666666667</v>
      </c>
    </row>
    <row r="178" spans="2:22" x14ac:dyDescent="0.25">
      <c r="B178">
        <f t="shared" si="2"/>
        <v>0.6</v>
      </c>
      <c r="C178">
        <f t="shared" si="2"/>
        <v>0.7</v>
      </c>
      <c r="D178">
        <f t="shared" ref="D178:V178" si="7">D157/$A134</f>
        <v>0.75</v>
      </c>
      <c r="E178">
        <f t="shared" si="7"/>
        <v>0.8</v>
      </c>
      <c r="F178">
        <f t="shared" si="7"/>
        <v>0.9</v>
      </c>
      <c r="G178">
        <f t="shared" si="7"/>
        <v>1</v>
      </c>
      <c r="H178">
        <f t="shared" si="7"/>
        <v>1.2</v>
      </c>
      <c r="I178">
        <f t="shared" si="7"/>
        <v>1.25</v>
      </c>
      <c r="J178">
        <f t="shared" si="7"/>
        <v>1.4</v>
      </c>
      <c r="K178">
        <f t="shared" si="7"/>
        <v>1.5</v>
      </c>
      <c r="L178">
        <f t="shared" si="7"/>
        <v>1.75</v>
      </c>
      <c r="M178">
        <f t="shared" si="7"/>
        <v>2</v>
      </c>
      <c r="N178">
        <f t="shared" si="7"/>
        <v>2.25</v>
      </c>
      <c r="O178">
        <f t="shared" si="7"/>
        <v>2.5</v>
      </c>
      <c r="P178">
        <f t="shared" si="7"/>
        <v>3</v>
      </c>
      <c r="Q178">
        <f t="shared" si="7"/>
        <v>3.5</v>
      </c>
      <c r="R178">
        <f t="shared" si="7"/>
        <v>4</v>
      </c>
      <c r="S178">
        <f t="shared" si="7"/>
        <v>4.5</v>
      </c>
      <c r="T178">
        <f t="shared" si="7"/>
        <v>5</v>
      </c>
      <c r="U178">
        <f t="shared" si="7"/>
        <v>5.5</v>
      </c>
      <c r="V178">
        <f t="shared" si="7"/>
        <v>6</v>
      </c>
    </row>
    <row r="179" spans="2:22" x14ac:dyDescent="0.25">
      <c r="B179">
        <f t="shared" si="2"/>
        <v>0.5</v>
      </c>
      <c r="C179">
        <f t="shared" si="2"/>
        <v>0.58333333333333337</v>
      </c>
      <c r="D179">
        <f t="shared" ref="D179:V179" si="8">D158/$A135</f>
        <v>0.625</v>
      </c>
      <c r="E179">
        <f t="shared" si="8"/>
        <v>0.66666666666666663</v>
      </c>
      <c r="F179">
        <f t="shared" si="8"/>
        <v>0.75</v>
      </c>
      <c r="G179">
        <f t="shared" si="8"/>
        <v>0.83333333333333337</v>
      </c>
      <c r="H179">
        <f t="shared" si="8"/>
        <v>1</v>
      </c>
      <c r="I179">
        <f t="shared" si="8"/>
        <v>1.0416666666666667</v>
      </c>
      <c r="J179">
        <f t="shared" si="8"/>
        <v>1.1666666666666667</v>
      </c>
      <c r="K179">
        <f t="shared" si="8"/>
        <v>1.25</v>
      </c>
      <c r="L179">
        <f t="shared" si="8"/>
        <v>1.4583333333333333</v>
      </c>
      <c r="M179">
        <f t="shared" si="8"/>
        <v>1.6666666666666667</v>
      </c>
      <c r="N179">
        <f t="shared" si="8"/>
        <v>1.875</v>
      </c>
      <c r="O179">
        <f t="shared" si="8"/>
        <v>2.0833333333333335</v>
      </c>
      <c r="P179">
        <f t="shared" si="8"/>
        <v>2.5</v>
      </c>
      <c r="Q179">
        <f t="shared" si="8"/>
        <v>2.9166666666666665</v>
      </c>
      <c r="R179">
        <f t="shared" si="8"/>
        <v>3.3333333333333335</v>
      </c>
      <c r="S179">
        <f t="shared" si="8"/>
        <v>3.75</v>
      </c>
      <c r="T179">
        <f t="shared" si="8"/>
        <v>4.166666666666667</v>
      </c>
      <c r="U179">
        <f t="shared" si="8"/>
        <v>4.583333333333333</v>
      </c>
      <c r="V179">
        <f t="shared" si="8"/>
        <v>5</v>
      </c>
    </row>
    <row r="180" spans="2:22" x14ac:dyDescent="0.25">
      <c r="B180">
        <f t="shared" si="2"/>
        <v>0.48</v>
      </c>
      <c r="C180">
        <f t="shared" si="2"/>
        <v>0.56000000000000005</v>
      </c>
      <c r="D180">
        <f t="shared" ref="D180:V180" si="9">D159/$A136</f>
        <v>0.6</v>
      </c>
      <c r="E180">
        <f t="shared" si="9"/>
        <v>0.64</v>
      </c>
      <c r="F180">
        <f t="shared" si="9"/>
        <v>0.72</v>
      </c>
      <c r="G180">
        <f t="shared" si="9"/>
        <v>0.8</v>
      </c>
      <c r="H180">
        <f t="shared" si="9"/>
        <v>0.96</v>
      </c>
      <c r="I180">
        <f t="shared" si="9"/>
        <v>1</v>
      </c>
      <c r="J180">
        <f t="shared" si="9"/>
        <v>1.1200000000000001</v>
      </c>
      <c r="K180">
        <f t="shared" si="9"/>
        <v>1.2</v>
      </c>
      <c r="L180">
        <f t="shared" si="9"/>
        <v>1.4</v>
      </c>
      <c r="M180">
        <f t="shared" si="9"/>
        <v>1.6</v>
      </c>
      <c r="N180">
        <f t="shared" si="9"/>
        <v>1.8</v>
      </c>
      <c r="O180">
        <f t="shared" si="9"/>
        <v>2</v>
      </c>
      <c r="P180">
        <f t="shared" si="9"/>
        <v>2.4</v>
      </c>
      <c r="Q180">
        <f t="shared" si="9"/>
        <v>2.8</v>
      </c>
      <c r="R180">
        <f t="shared" si="9"/>
        <v>3.2</v>
      </c>
      <c r="S180">
        <f t="shared" si="9"/>
        <v>3.6</v>
      </c>
      <c r="T180">
        <f t="shared" si="9"/>
        <v>4</v>
      </c>
      <c r="U180">
        <f t="shared" si="9"/>
        <v>4.4000000000000004</v>
      </c>
      <c r="V180">
        <f t="shared" si="9"/>
        <v>4.8</v>
      </c>
    </row>
    <row r="181" spans="2:22" x14ac:dyDescent="0.25">
      <c r="B181">
        <f t="shared" si="2"/>
        <v>0.42857142857142855</v>
      </c>
      <c r="C181">
        <f t="shared" si="2"/>
        <v>0.5</v>
      </c>
      <c r="D181">
        <f t="shared" ref="D181:V181" si="10">D160/$A137</f>
        <v>0.5357142857142857</v>
      </c>
      <c r="E181">
        <f t="shared" si="10"/>
        <v>0.5714285714285714</v>
      </c>
      <c r="F181">
        <f t="shared" si="10"/>
        <v>0.6428571428571429</v>
      </c>
      <c r="G181">
        <f t="shared" si="10"/>
        <v>0.7142857142857143</v>
      </c>
      <c r="H181">
        <f t="shared" si="10"/>
        <v>0.8571428571428571</v>
      </c>
      <c r="I181">
        <f t="shared" si="10"/>
        <v>0.8928571428571429</v>
      </c>
      <c r="J181">
        <f t="shared" si="10"/>
        <v>1</v>
      </c>
      <c r="K181">
        <f t="shared" si="10"/>
        <v>1.0714285714285714</v>
      </c>
      <c r="L181">
        <f t="shared" si="10"/>
        <v>1.25</v>
      </c>
      <c r="M181">
        <f t="shared" si="10"/>
        <v>1.4285714285714286</v>
      </c>
      <c r="N181">
        <f t="shared" si="10"/>
        <v>1.6071428571428572</v>
      </c>
      <c r="O181">
        <f t="shared" si="10"/>
        <v>1.7857142857142858</v>
      </c>
      <c r="P181">
        <f t="shared" si="10"/>
        <v>2.1428571428571428</v>
      </c>
      <c r="Q181">
        <f t="shared" si="10"/>
        <v>2.5</v>
      </c>
      <c r="R181">
        <f t="shared" si="10"/>
        <v>2.8571428571428572</v>
      </c>
      <c r="S181">
        <f t="shared" si="10"/>
        <v>3.2142857142857144</v>
      </c>
      <c r="T181">
        <f t="shared" si="10"/>
        <v>3.5714285714285716</v>
      </c>
      <c r="U181">
        <f t="shared" si="10"/>
        <v>3.9285714285714284</v>
      </c>
      <c r="V181">
        <f t="shared" si="10"/>
        <v>4.2857142857142856</v>
      </c>
    </row>
    <row r="182" spans="2:22" x14ac:dyDescent="0.25">
      <c r="B182">
        <f t="shared" si="2"/>
        <v>0.4</v>
      </c>
      <c r="C182">
        <f t="shared" si="2"/>
        <v>0.46666666666666667</v>
      </c>
      <c r="D182">
        <f t="shared" ref="D182:V182" si="11">D161/$A138</f>
        <v>0.5</v>
      </c>
      <c r="E182">
        <f t="shared" si="11"/>
        <v>0.53333333333333333</v>
      </c>
      <c r="F182">
        <f t="shared" si="11"/>
        <v>0.6</v>
      </c>
      <c r="G182">
        <f t="shared" si="11"/>
        <v>0.66666666666666663</v>
      </c>
      <c r="H182">
        <f t="shared" si="11"/>
        <v>0.8</v>
      </c>
      <c r="I182">
        <f t="shared" si="11"/>
        <v>0.83333333333333337</v>
      </c>
      <c r="J182">
        <f t="shared" si="11"/>
        <v>0.93333333333333335</v>
      </c>
      <c r="K182">
        <f t="shared" si="11"/>
        <v>1</v>
      </c>
      <c r="L182">
        <f t="shared" si="11"/>
        <v>1.1666666666666667</v>
      </c>
      <c r="M182">
        <f t="shared" si="11"/>
        <v>1.3333333333333333</v>
      </c>
      <c r="N182">
        <f t="shared" si="11"/>
        <v>1.5</v>
      </c>
      <c r="O182">
        <f t="shared" si="11"/>
        <v>1.6666666666666667</v>
      </c>
      <c r="P182">
        <f t="shared" si="11"/>
        <v>2</v>
      </c>
      <c r="Q182">
        <f t="shared" si="11"/>
        <v>2.3333333333333335</v>
      </c>
      <c r="R182">
        <f t="shared" si="11"/>
        <v>2.6666666666666665</v>
      </c>
      <c r="S182">
        <f t="shared" si="11"/>
        <v>3</v>
      </c>
      <c r="T182">
        <f t="shared" si="11"/>
        <v>3.3333333333333335</v>
      </c>
      <c r="U182">
        <f t="shared" si="11"/>
        <v>3.6666666666666665</v>
      </c>
      <c r="V182">
        <f t="shared" si="11"/>
        <v>4</v>
      </c>
    </row>
    <row r="183" spans="2:22" x14ac:dyDescent="0.25">
      <c r="B183">
        <f t="shared" si="2"/>
        <v>0.34285714285714286</v>
      </c>
      <c r="C183">
        <f t="shared" si="2"/>
        <v>0.4</v>
      </c>
      <c r="D183">
        <f t="shared" ref="D183:V183" si="12">D162/$A139</f>
        <v>0.42857142857142855</v>
      </c>
      <c r="E183">
        <f t="shared" si="12"/>
        <v>0.45714285714285713</v>
      </c>
      <c r="F183">
        <f t="shared" si="12"/>
        <v>0.51428571428571423</v>
      </c>
      <c r="G183">
        <f t="shared" si="12"/>
        <v>0.5714285714285714</v>
      </c>
      <c r="H183">
        <f t="shared" si="12"/>
        <v>0.68571428571428572</v>
      </c>
      <c r="I183">
        <f t="shared" si="12"/>
        <v>0.7142857142857143</v>
      </c>
      <c r="J183">
        <f t="shared" si="12"/>
        <v>0.8</v>
      </c>
      <c r="K183">
        <f t="shared" si="12"/>
        <v>0.8571428571428571</v>
      </c>
      <c r="L183">
        <f t="shared" si="12"/>
        <v>1</v>
      </c>
      <c r="M183">
        <f t="shared" si="12"/>
        <v>1.1428571428571428</v>
      </c>
      <c r="N183">
        <f t="shared" si="12"/>
        <v>1.2857142857142858</v>
      </c>
      <c r="O183">
        <f t="shared" si="12"/>
        <v>1.4285714285714286</v>
      </c>
      <c r="P183">
        <f t="shared" si="12"/>
        <v>1.7142857142857142</v>
      </c>
      <c r="Q183">
        <f t="shared" si="12"/>
        <v>2</v>
      </c>
      <c r="R183">
        <f t="shared" si="12"/>
        <v>2.2857142857142856</v>
      </c>
      <c r="S183">
        <f t="shared" si="12"/>
        <v>2.5714285714285716</v>
      </c>
      <c r="T183">
        <f t="shared" si="12"/>
        <v>2.8571428571428572</v>
      </c>
      <c r="U183">
        <f t="shared" si="12"/>
        <v>3.1428571428571428</v>
      </c>
      <c r="V183">
        <f t="shared" si="12"/>
        <v>3.4285714285714284</v>
      </c>
    </row>
    <row r="184" spans="2:22" x14ac:dyDescent="0.25">
      <c r="B184">
        <f t="shared" si="2"/>
        <v>0.3</v>
      </c>
      <c r="C184">
        <f t="shared" si="2"/>
        <v>0.35</v>
      </c>
      <c r="D184">
        <f t="shared" ref="D184:V184" si="13">D163/$A140</f>
        <v>0.375</v>
      </c>
      <c r="E184">
        <f t="shared" si="13"/>
        <v>0.4</v>
      </c>
      <c r="F184">
        <f t="shared" si="13"/>
        <v>0.45</v>
      </c>
      <c r="G184">
        <f t="shared" si="13"/>
        <v>0.5</v>
      </c>
      <c r="H184">
        <f t="shared" si="13"/>
        <v>0.6</v>
      </c>
      <c r="I184">
        <f t="shared" si="13"/>
        <v>0.625</v>
      </c>
      <c r="J184">
        <f t="shared" si="13"/>
        <v>0.7</v>
      </c>
      <c r="K184">
        <f t="shared" si="13"/>
        <v>0.75</v>
      </c>
      <c r="L184">
        <f t="shared" si="13"/>
        <v>0.875</v>
      </c>
      <c r="M184">
        <f t="shared" si="13"/>
        <v>1</v>
      </c>
      <c r="N184">
        <f t="shared" si="13"/>
        <v>1.125</v>
      </c>
      <c r="O184">
        <f t="shared" si="13"/>
        <v>1.25</v>
      </c>
      <c r="P184">
        <f t="shared" si="13"/>
        <v>1.5</v>
      </c>
      <c r="Q184">
        <f t="shared" si="13"/>
        <v>1.75</v>
      </c>
      <c r="R184">
        <f t="shared" si="13"/>
        <v>2</v>
      </c>
      <c r="S184">
        <f t="shared" si="13"/>
        <v>2.25</v>
      </c>
      <c r="T184">
        <f t="shared" si="13"/>
        <v>2.5</v>
      </c>
      <c r="U184">
        <f t="shared" si="13"/>
        <v>2.75</v>
      </c>
      <c r="V184">
        <f t="shared" si="13"/>
        <v>3</v>
      </c>
    </row>
    <row r="185" spans="2:22" x14ac:dyDescent="0.25">
      <c r="B185">
        <f t="shared" si="2"/>
        <v>0.26666666666666666</v>
      </c>
      <c r="C185">
        <f t="shared" si="2"/>
        <v>0.31111111111111112</v>
      </c>
      <c r="D185">
        <f t="shared" ref="D185:V185" si="14">D164/$A141</f>
        <v>0.33333333333333331</v>
      </c>
      <c r="E185">
        <f t="shared" si="14"/>
        <v>0.35555555555555557</v>
      </c>
      <c r="F185">
        <f t="shared" si="14"/>
        <v>0.4</v>
      </c>
      <c r="G185">
        <f t="shared" si="14"/>
        <v>0.44444444444444442</v>
      </c>
      <c r="H185">
        <f t="shared" si="14"/>
        <v>0.53333333333333333</v>
      </c>
      <c r="I185">
        <f t="shared" si="14"/>
        <v>0.55555555555555558</v>
      </c>
      <c r="J185">
        <f t="shared" si="14"/>
        <v>0.62222222222222223</v>
      </c>
      <c r="K185">
        <f t="shared" si="14"/>
        <v>0.66666666666666663</v>
      </c>
      <c r="L185">
        <f t="shared" si="14"/>
        <v>0.77777777777777779</v>
      </c>
      <c r="M185">
        <f t="shared" si="14"/>
        <v>0.88888888888888884</v>
      </c>
      <c r="N185">
        <f t="shared" si="14"/>
        <v>1</v>
      </c>
      <c r="O185">
        <f t="shared" si="14"/>
        <v>1.1111111111111112</v>
      </c>
      <c r="P185">
        <f t="shared" si="14"/>
        <v>1.3333333333333333</v>
      </c>
      <c r="Q185">
        <f t="shared" si="14"/>
        <v>1.5555555555555556</v>
      </c>
      <c r="R185">
        <f t="shared" si="14"/>
        <v>1.7777777777777777</v>
      </c>
      <c r="S185">
        <f t="shared" si="14"/>
        <v>2</v>
      </c>
      <c r="T185">
        <f t="shared" si="14"/>
        <v>2.2222222222222223</v>
      </c>
      <c r="U185">
        <f t="shared" si="14"/>
        <v>2.4444444444444446</v>
      </c>
      <c r="V185">
        <f t="shared" si="14"/>
        <v>2.6666666666666665</v>
      </c>
    </row>
    <row r="186" spans="2:22" x14ac:dyDescent="0.25">
      <c r="B186">
        <f t="shared" si="2"/>
        <v>0.24</v>
      </c>
      <c r="C186">
        <f t="shared" si="2"/>
        <v>0.28000000000000003</v>
      </c>
      <c r="D186">
        <f t="shared" ref="D186:V186" si="15">D165/$A142</f>
        <v>0.3</v>
      </c>
      <c r="E186">
        <f t="shared" si="15"/>
        <v>0.32</v>
      </c>
      <c r="F186">
        <f t="shared" si="15"/>
        <v>0.36</v>
      </c>
      <c r="G186">
        <f t="shared" si="15"/>
        <v>0.4</v>
      </c>
      <c r="H186">
        <f t="shared" si="15"/>
        <v>0.48</v>
      </c>
      <c r="I186">
        <f t="shared" si="15"/>
        <v>0.5</v>
      </c>
      <c r="J186">
        <f t="shared" si="15"/>
        <v>0.56000000000000005</v>
      </c>
      <c r="K186">
        <f t="shared" si="15"/>
        <v>0.6</v>
      </c>
      <c r="L186">
        <f t="shared" si="15"/>
        <v>0.7</v>
      </c>
      <c r="M186">
        <f t="shared" si="15"/>
        <v>0.8</v>
      </c>
      <c r="N186">
        <f t="shared" si="15"/>
        <v>0.9</v>
      </c>
      <c r="O186">
        <f t="shared" si="15"/>
        <v>1</v>
      </c>
      <c r="P186">
        <f t="shared" si="15"/>
        <v>1.2</v>
      </c>
      <c r="Q186">
        <f t="shared" si="15"/>
        <v>1.4</v>
      </c>
      <c r="R186">
        <f t="shared" si="15"/>
        <v>1.6</v>
      </c>
      <c r="S186">
        <f t="shared" si="15"/>
        <v>1.8</v>
      </c>
      <c r="T186">
        <f t="shared" si="15"/>
        <v>2</v>
      </c>
      <c r="U186">
        <f t="shared" si="15"/>
        <v>2.2000000000000002</v>
      </c>
      <c r="V186">
        <f t="shared" si="15"/>
        <v>2.4</v>
      </c>
    </row>
    <row r="187" spans="2:22" x14ac:dyDescent="0.25">
      <c r="B187">
        <f t="shared" si="2"/>
        <v>0.2</v>
      </c>
      <c r="C187">
        <f t="shared" si="2"/>
        <v>0.23333333333333334</v>
      </c>
      <c r="D187">
        <f t="shared" ref="D187:V187" si="16">D166/$A143</f>
        <v>0.25</v>
      </c>
      <c r="E187">
        <f t="shared" si="16"/>
        <v>0.26666666666666666</v>
      </c>
      <c r="F187">
        <f t="shared" si="16"/>
        <v>0.3</v>
      </c>
      <c r="G187">
        <f t="shared" si="16"/>
        <v>0.33333333333333331</v>
      </c>
      <c r="H187">
        <f t="shared" si="16"/>
        <v>0.4</v>
      </c>
      <c r="I187">
        <f t="shared" si="16"/>
        <v>0.41666666666666669</v>
      </c>
      <c r="J187">
        <f t="shared" si="16"/>
        <v>0.46666666666666667</v>
      </c>
      <c r="K187">
        <f t="shared" si="16"/>
        <v>0.5</v>
      </c>
      <c r="L187">
        <f t="shared" si="16"/>
        <v>0.58333333333333337</v>
      </c>
      <c r="M187">
        <f t="shared" si="16"/>
        <v>0.66666666666666663</v>
      </c>
      <c r="N187">
        <f t="shared" si="16"/>
        <v>0.75</v>
      </c>
      <c r="O187">
        <f t="shared" si="16"/>
        <v>0.83333333333333337</v>
      </c>
      <c r="P187">
        <f t="shared" si="16"/>
        <v>1</v>
      </c>
      <c r="Q187">
        <f t="shared" si="16"/>
        <v>1.1666666666666667</v>
      </c>
      <c r="R187">
        <f t="shared" si="16"/>
        <v>1.3333333333333333</v>
      </c>
      <c r="S187">
        <f t="shared" si="16"/>
        <v>1.5</v>
      </c>
      <c r="T187">
        <f t="shared" si="16"/>
        <v>1.6666666666666667</v>
      </c>
      <c r="U187">
        <f t="shared" si="16"/>
        <v>1.8333333333333333</v>
      </c>
      <c r="V187">
        <f t="shared" si="16"/>
        <v>2</v>
      </c>
    </row>
    <row r="188" spans="2:22" x14ac:dyDescent="0.25">
      <c r="B188">
        <f t="shared" si="2"/>
        <v>0.17142857142857143</v>
      </c>
      <c r="C188">
        <f t="shared" si="2"/>
        <v>0.2</v>
      </c>
      <c r="D188">
        <f t="shared" ref="D188:V188" si="17">D167/$A144</f>
        <v>0.21428571428571427</v>
      </c>
      <c r="E188">
        <f t="shared" si="17"/>
        <v>0.22857142857142856</v>
      </c>
      <c r="F188">
        <f t="shared" si="17"/>
        <v>0.25714285714285712</v>
      </c>
      <c r="G188">
        <f t="shared" si="17"/>
        <v>0.2857142857142857</v>
      </c>
      <c r="H188">
        <f t="shared" si="17"/>
        <v>0.34285714285714286</v>
      </c>
      <c r="I188">
        <f t="shared" si="17"/>
        <v>0.35714285714285715</v>
      </c>
      <c r="J188">
        <f t="shared" si="17"/>
        <v>0.4</v>
      </c>
      <c r="K188">
        <f t="shared" si="17"/>
        <v>0.42857142857142855</v>
      </c>
      <c r="L188">
        <f t="shared" si="17"/>
        <v>0.5</v>
      </c>
      <c r="M188">
        <f t="shared" si="17"/>
        <v>0.5714285714285714</v>
      </c>
      <c r="N188">
        <f t="shared" si="17"/>
        <v>0.6428571428571429</v>
      </c>
      <c r="O188">
        <f t="shared" si="17"/>
        <v>0.7142857142857143</v>
      </c>
      <c r="P188">
        <f t="shared" si="17"/>
        <v>0.8571428571428571</v>
      </c>
      <c r="Q188">
        <f t="shared" si="17"/>
        <v>1</v>
      </c>
      <c r="R188">
        <f t="shared" si="17"/>
        <v>1.1428571428571428</v>
      </c>
      <c r="S188">
        <f t="shared" si="17"/>
        <v>1.2857142857142858</v>
      </c>
      <c r="T188">
        <f t="shared" si="17"/>
        <v>1.4285714285714286</v>
      </c>
      <c r="U188">
        <f t="shared" si="17"/>
        <v>1.5714285714285714</v>
      </c>
      <c r="V188">
        <f t="shared" si="17"/>
        <v>1.7142857142857142</v>
      </c>
    </row>
    <row r="189" spans="2:22" x14ac:dyDescent="0.25">
      <c r="B189">
        <f t="shared" si="2"/>
        <v>0.15</v>
      </c>
      <c r="C189">
        <f t="shared" si="2"/>
        <v>0.17499999999999999</v>
      </c>
      <c r="D189">
        <f t="shared" ref="D189:V189" si="18">D168/$A145</f>
        <v>0.1875</v>
      </c>
      <c r="E189">
        <f t="shared" si="18"/>
        <v>0.2</v>
      </c>
      <c r="F189">
        <f t="shared" si="18"/>
        <v>0.22500000000000001</v>
      </c>
      <c r="G189">
        <f t="shared" si="18"/>
        <v>0.25</v>
      </c>
      <c r="H189">
        <f t="shared" si="18"/>
        <v>0.3</v>
      </c>
      <c r="I189">
        <f t="shared" si="18"/>
        <v>0.3125</v>
      </c>
      <c r="J189">
        <f t="shared" si="18"/>
        <v>0.35</v>
      </c>
      <c r="K189">
        <f t="shared" si="18"/>
        <v>0.375</v>
      </c>
      <c r="L189">
        <f t="shared" si="18"/>
        <v>0.4375</v>
      </c>
      <c r="M189">
        <f t="shared" si="18"/>
        <v>0.5</v>
      </c>
      <c r="N189">
        <f t="shared" si="18"/>
        <v>0.5625</v>
      </c>
      <c r="O189">
        <f t="shared" si="18"/>
        <v>0.625</v>
      </c>
      <c r="P189">
        <f t="shared" si="18"/>
        <v>0.75</v>
      </c>
      <c r="Q189">
        <f t="shared" si="18"/>
        <v>0.875</v>
      </c>
      <c r="R189">
        <f t="shared" si="18"/>
        <v>1</v>
      </c>
      <c r="S189">
        <f t="shared" si="18"/>
        <v>1.125</v>
      </c>
      <c r="T189">
        <f t="shared" si="18"/>
        <v>1.25</v>
      </c>
      <c r="U189">
        <f t="shared" si="18"/>
        <v>1.375</v>
      </c>
      <c r="V189">
        <f t="shared" si="18"/>
        <v>1.5</v>
      </c>
    </row>
    <row r="190" spans="2:22" x14ac:dyDescent="0.25">
      <c r="B190">
        <f t="shared" si="2"/>
        <v>0.13333333333333333</v>
      </c>
      <c r="C190">
        <f t="shared" si="2"/>
        <v>0.15555555555555556</v>
      </c>
      <c r="D190">
        <f t="shared" ref="D190:V190" si="19">D169/$A146</f>
        <v>0.16666666666666666</v>
      </c>
      <c r="E190">
        <f t="shared" si="19"/>
        <v>0.17777777777777778</v>
      </c>
      <c r="F190">
        <f t="shared" si="19"/>
        <v>0.2</v>
      </c>
      <c r="G190">
        <f t="shared" si="19"/>
        <v>0.22222222222222221</v>
      </c>
      <c r="H190">
        <f t="shared" si="19"/>
        <v>0.26666666666666666</v>
      </c>
      <c r="I190">
        <f t="shared" si="19"/>
        <v>0.27777777777777779</v>
      </c>
      <c r="J190">
        <f t="shared" si="19"/>
        <v>0.31111111111111112</v>
      </c>
      <c r="K190">
        <f t="shared" si="19"/>
        <v>0.33333333333333331</v>
      </c>
      <c r="L190">
        <f t="shared" si="19"/>
        <v>0.3888888888888889</v>
      </c>
      <c r="M190">
        <f t="shared" si="19"/>
        <v>0.44444444444444442</v>
      </c>
      <c r="N190">
        <f t="shared" si="19"/>
        <v>0.5</v>
      </c>
      <c r="O190">
        <f t="shared" si="19"/>
        <v>0.55555555555555558</v>
      </c>
      <c r="P190">
        <f t="shared" si="19"/>
        <v>0.66666666666666663</v>
      </c>
      <c r="Q190">
        <f t="shared" si="19"/>
        <v>0.77777777777777779</v>
      </c>
      <c r="R190">
        <f t="shared" si="19"/>
        <v>0.88888888888888884</v>
      </c>
      <c r="S190">
        <f t="shared" si="19"/>
        <v>1</v>
      </c>
      <c r="T190">
        <f t="shared" si="19"/>
        <v>1.1111111111111112</v>
      </c>
      <c r="U190">
        <f t="shared" si="19"/>
        <v>1.2222222222222223</v>
      </c>
      <c r="V190">
        <f t="shared" si="19"/>
        <v>1.3333333333333333</v>
      </c>
    </row>
    <row r="191" spans="2:22" x14ac:dyDescent="0.25">
      <c r="B191">
        <f t="shared" si="2"/>
        <v>0.12</v>
      </c>
      <c r="C191">
        <f t="shared" si="2"/>
        <v>0.14000000000000001</v>
      </c>
      <c r="D191">
        <f t="shared" ref="D191:V191" si="20">D170/$A147</f>
        <v>0.15</v>
      </c>
      <c r="E191">
        <f t="shared" si="20"/>
        <v>0.16</v>
      </c>
      <c r="F191">
        <f t="shared" si="20"/>
        <v>0.18</v>
      </c>
      <c r="G191">
        <f t="shared" si="20"/>
        <v>0.2</v>
      </c>
      <c r="H191">
        <f t="shared" si="20"/>
        <v>0.24</v>
      </c>
      <c r="I191">
        <f t="shared" si="20"/>
        <v>0.25</v>
      </c>
      <c r="J191">
        <f t="shared" si="20"/>
        <v>0.28000000000000003</v>
      </c>
      <c r="K191">
        <f t="shared" si="20"/>
        <v>0.3</v>
      </c>
      <c r="L191">
        <f t="shared" si="20"/>
        <v>0.35</v>
      </c>
      <c r="M191">
        <f t="shared" si="20"/>
        <v>0.4</v>
      </c>
      <c r="N191">
        <f t="shared" si="20"/>
        <v>0.45</v>
      </c>
      <c r="O191">
        <f t="shared" si="20"/>
        <v>0.5</v>
      </c>
      <c r="P191">
        <f t="shared" si="20"/>
        <v>0.6</v>
      </c>
      <c r="Q191">
        <f t="shared" si="20"/>
        <v>0.7</v>
      </c>
      <c r="R191">
        <f t="shared" si="20"/>
        <v>0.8</v>
      </c>
      <c r="S191">
        <f t="shared" si="20"/>
        <v>0.9</v>
      </c>
      <c r="T191">
        <f t="shared" si="20"/>
        <v>1</v>
      </c>
      <c r="U191">
        <f t="shared" si="20"/>
        <v>1.1000000000000001</v>
      </c>
      <c r="V191">
        <f t="shared" si="20"/>
        <v>1.2</v>
      </c>
    </row>
    <row r="192" spans="2:22" x14ac:dyDescent="0.25">
      <c r="B192">
        <f t="shared" si="2"/>
        <v>0.10909090909090909</v>
      </c>
      <c r="C192">
        <f t="shared" si="2"/>
        <v>0.12727272727272726</v>
      </c>
      <c r="D192">
        <f t="shared" ref="D192:V192" si="21">D171/$A148</f>
        <v>0.13636363636363635</v>
      </c>
      <c r="E192">
        <f t="shared" si="21"/>
        <v>0.14545454545454545</v>
      </c>
      <c r="F192">
        <f t="shared" si="21"/>
        <v>0.16363636363636364</v>
      </c>
      <c r="G192">
        <f t="shared" si="21"/>
        <v>0.18181818181818182</v>
      </c>
      <c r="H192">
        <f t="shared" si="21"/>
        <v>0.21818181818181817</v>
      </c>
      <c r="I192">
        <f t="shared" si="21"/>
        <v>0.22727272727272727</v>
      </c>
      <c r="J192">
        <f t="shared" si="21"/>
        <v>0.25454545454545452</v>
      </c>
      <c r="K192">
        <f t="shared" si="21"/>
        <v>0.27272727272727271</v>
      </c>
      <c r="L192">
        <f t="shared" si="21"/>
        <v>0.31818181818181818</v>
      </c>
      <c r="M192">
        <f t="shared" si="21"/>
        <v>0.36363636363636365</v>
      </c>
      <c r="N192">
        <f t="shared" si="21"/>
        <v>0.40909090909090912</v>
      </c>
      <c r="O192">
        <f t="shared" si="21"/>
        <v>0.45454545454545453</v>
      </c>
      <c r="P192">
        <f t="shared" si="21"/>
        <v>0.54545454545454541</v>
      </c>
      <c r="Q192">
        <f t="shared" si="21"/>
        <v>0.63636363636363635</v>
      </c>
      <c r="R192">
        <f t="shared" si="21"/>
        <v>0.72727272727272729</v>
      </c>
      <c r="S192">
        <f t="shared" si="21"/>
        <v>0.81818181818181823</v>
      </c>
      <c r="T192">
        <f t="shared" si="21"/>
        <v>0.90909090909090906</v>
      </c>
      <c r="U192">
        <f t="shared" si="21"/>
        <v>1</v>
      </c>
      <c r="V192">
        <f t="shared" si="21"/>
        <v>1.0909090909090908</v>
      </c>
    </row>
    <row r="193" spans="1:22" x14ac:dyDescent="0.25">
      <c r="B193">
        <f t="shared" si="2"/>
        <v>0</v>
      </c>
      <c r="C193">
        <f t="shared" si="2"/>
        <v>0</v>
      </c>
      <c r="D193">
        <f t="shared" ref="D193:V193" si="22">D172/$A149</f>
        <v>0</v>
      </c>
      <c r="E193">
        <f t="shared" si="22"/>
        <v>0</v>
      </c>
      <c r="F193">
        <f t="shared" si="22"/>
        <v>0</v>
      </c>
      <c r="G193">
        <f t="shared" si="22"/>
        <v>0</v>
      </c>
      <c r="H193">
        <f t="shared" si="22"/>
        <v>0</v>
      </c>
      <c r="I193">
        <f t="shared" si="22"/>
        <v>0</v>
      </c>
      <c r="J193">
        <f t="shared" si="22"/>
        <v>0</v>
      </c>
      <c r="K193">
        <f t="shared" si="22"/>
        <v>0</v>
      </c>
      <c r="L193">
        <f t="shared" si="22"/>
        <v>0</v>
      </c>
      <c r="M193">
        <f t="shared" si="22"/>
        <v>0</v>
      </c>
      <c r="N193">
        <f t="shared" si="22"/>
        <v>0</v>
      </c>
      <c r="O193">
        <f t="shared" si="22"/>
        <v>0</v>
      </c>
      <c r="P193">
        <f t="shared" si="22"/>
        <v>0</v>
      </c>
      <c r="Q193">
        <f t="shared" si="22"/>
        <v>0</v>
      </c>
      <c r="R193">
        <f t="shared" si="22"/>
        <v>0</v>
      </c>
      <c r="S193">
        <f t="shared" si="22"/>
        <v>0</v>
      </c>
      <c r="T193">
        <f t="shared" si="22"/>
        <v>0</v>
      </c>
      <c r="U193">
        <f t="shared" si="22"/>
        <v>0</v>
      </c>
      <c r="V193">
        <f t="shared" si="22"/>
        <v>0</v>
      </c>
    </row>
    <row r="197" spans="1:22" x14ac:dyDescent="0.25">
      <c r="A197" s="6" t="s">
        <v>359</v>
      </c>
    </row>
    <row r="198" spans="1:22" ht="15.75" thickBot="1" x14ac:dyDescent="0.3">
      <c r="A198" t="s">
        <v>351</v>
      </c>
      <c r="B198" t="s">
        <v>356</v>
      </c>
    </row>
    <row r="199" spans="1:22" ht="15.75" thickBot="1" x14ac:dyDescent="0.3">
      <c r="A199" s="43">
        <f>M154</f>
        <v>40</v>
      </c>
      <c r="B199" s="43">
        <f>A131</f>
        <v>15</v>
      </c>
      <c r="C199" s="5" t="s">
        <v>607</v>
      </c>
      <c r="K199" s="97" t="s">
        <v>596</v>
      </c>
      <c r="L199" s="98"/>
      <c r="M199" s="98"/>
      <c r="N199" s="98"/>
      <c r="O199" s="99"/>
    </row>
    <row r="200" spans="1:22" x14ac:dyDescent="0.25">
      <c r="A200" s="46">
        <f>R161</f>
        <v>80</v>
      </c>
      <c r="B200" s="46">
        <f>A138</f>
        <v>30</v>
      </c>
      <c r="K200" s="86"/>
      <c r="L200" s="87" t="s">
        <v>483</v>
      </c>
      <c r="M200" s="87" t="s">
        <v>597</v>
      </c>
      <c r="N200" s="87" t="s">
        <v>599</v>
      </c>
      <c r="O200" s="88" t="s">
        <v>598</v>
      </c>
    </row>
    <row r="201" spans="1:22" x14ac:dyDescent="0.25">
      <c r="A201" s="45">
        <f>V164</f>
        <v>120</v>
      </c>
      <c r="B201" s="45">
        <f>A141</f>
        <v>45</v>
      </c>
      <c r="K201" s="79" t="s">
        <v>195</v>
      </c>
      <c r="L201">
        <v>24</v>
      </c>
      <c r="M201" t="s">
        <v>600</v>
      </c>
      <c r="N201">
        <v>5.2</v>
      </c>
      <c r="O201" s="80">
        <v>4.8</v>
      </c>
    </row>
    <row r="202" spans="1:22" x14ac:dyDescent="0.25">
      <c r="K202" s="79" t="s">
        <v>343</v>
      </c>
      <c r="L202">
        <v>60</v>
      </c>
      <c r="M202" t="s">
        <v>601</v>
      </c>
      <c r="N202">
        <v>12.4</v>
      </c>
      <c r="O202" s="80">
        <v>12</v>
      </c>
    </row>
    <row r="203" spans="1:22" x14ac:dyDescent="0.25">
      <c r="A203" t="s">
        <v>360</v>
      </c>
      <c r="K203" s="79" t="s">
        <v>356</v>
      </c>
      <c r="L203">
        <v>15</v>
      </c>
      <c r="M203" t="s">
        <v>602</v>
      </c>
      <c r="N203">
        <v>3.4</v>
      </c>
      <c r="O203" s="80">
        <v>3</v>
      </c>
    </row>
    <row r="204" spans="1:22" ht="15.75" thickBot="1" x14ac:dyDescent="0.3">
      <c r="A204" s="43">
        <f>A199/B199</f>
        <v>2.6666666666666665</v>
      </c>
      <c r="K204" s="81" t="s">
        <v>351</v>
      </c>
      <c r="L204" s="82">
        <v>40</v>
      </c>
      <c r="M204" s="82" t="s">
        <v>603</v>
      </c>
      <c r="N204" s="82">
        <v>8.4</v>
      </c>
      <c r="O204" s="83">
        <v>8</v>
      </c>
    </row>
    <row r="205" spans="1:22" ht="15.75" thickBot="1" x14ac:dyDescent="0.3">
      <c r="A205" s="46">
        <f t="shared" ref="A205:A206" si="23">A200/B200</f>
        <v>2.6666666666666665</v>
      </c>
      <c r="K205" s="89" t="s">
        <v>604</v>
      </c>
      <c r="L205" s="84"/>
      <c r="M205" s="84"/>
      <c r="N205" s="84"/>
      <c r="O205" s="85"/>
    </row>
    <row r="206" spans="1:22" x14ac:dyDescent="0.25">
      <c r="A206" s="45">
        <f t="shared" si="23"/>
        <v>2.6666666666666665</v>
      </c>
    </row>
    <row r="207" spans="1:22" x14ac:dyDescent="0.25">
      <c r="M207" t="s">
        <v>605</v>
      </c>
    </row>
    <row r="208" spans="1:22" x14ac:dyDescent="0.25">
      <c r="A208" t="s">
        <v>361</v>
      </c>
      <c r="M208" t="s">
        <v>606</v>
      </c>
    </row>
    <row r="209" spans="1:2" x14ac:dyDescent="0.25">
      <c r="A209">
        <f>((C$122*B199)/(D$122*A199))*B$122</f>
        <v>79.8</v>
      </c>
    </row>
    <row r="210" spans="1:2" x14ac:dyDescent="0.25">
      <c r="A210">
        <f t="shared" ref="A210:A211" si="24">((C$122*B200)/(D$122*A200))*B$122</f>
        <v>79.8</v>
      </c>
    </row>
    <row r="211" spans="1:2" x14ac:dyDescent="0.25">
      <c r="A211">
        <f t="shared" si="24"/>
        <v>79.8</v>
      </c>
    </row>
    <row r="213" spans="1:2" x14ac:dyDescent="0.25">
      <c r="A213" t="s">
        <v>362</v>
      </c>
    </row>
    <row r="214" spans="1:2" x14ac:dyDescent="0.25">
      <c r="A214" s="19">
        <f>1-(A209/A122)</f>
        <v>2.5000000000000577E-3</v>
      </c>
    </row>
    <row r="215" spans="1:2" x14ac:dyDescent="0.25">
      <c r="A215" t="s">
        <v>363</v>
      </c>
    </row>
    <row r="218" spans="1:2" x14ac:dyDescent="0.25">
      <c r="A218" t="s">
        <v>364</v>
      </c>
    </row>
    <row r="220" spans="1:2" x14ac:dyDescent="0.25">
      <c r="A220">
        <f>A96</f>
        <v>24</v>
      </c>
      <c r="B220" t="s">
        <v>195</v>
      </c>
    </row>
    <row r="221" spans="1:2" x14ac:dyDescent="0.25">
      <c r="A221" s="25">
        <f>A97</f>
        <v>532</v>
      </c>
      <c r="B221" t="s">
        <v>340</v>
      </c>
    </row>
    <row r="222" spans="1:2" x14ac:dyDescent="0.25">
      <c r="A222">
        <f>A89</f>
        <v>2.5</v>
      </c>
      <c r="B222" t="s">
        <v>368</v>
      </c>
    </row>
    <row r="223" spans="1:2" x14ac:dyDescent="0.25">
      <c r="A223">
        <f>A50</f>
        <v>35.15</v>
      </c>
      <c r="B223" t="s">
        <v>384</v>
      </c>
    </row>
    <row r="224" spans="1:2" x14ac:dyDescent="0.25">
      <c r="A224" t="s">
        <v>369</v>
      </c>
      <c r="B224" t="s">
        <v>367</v>
      </c>
    </row>
    <row r="226" spans="1:2" x14ac:dyDescent="0.25">
      <c r="A226" t="s">
        <v>370</v>
      </c>
    </row>
    <row r="228" spans="1:2" x14ac:dyDescent="0.25">
      <c r="A228" s="5" t="s">
        <v>374</v>
      </c>
      <c r="B228" t="s">
        <v>371</v>
      </c>
    </row>
    <row r="229" spans="1:2" x14ac:dyDescent="0.25">
      <c r="A229">
        <f>D94</f>
        <v>4.8</v>
      </c>
      <c r="B229" t="s">
        <v>373</v>
      </c>
    </row>
    <row r="230" spans="1:2" x14ac:dyDescent="0.25">
      <c r="A230">
        <f>A220</f>
        <v>24</v>
      </c>
      <c r="B230" t="s">
        <v>372</v>
      </c>
    </row>
    <row r="232" spans="1:2" x14ac:dyDescent="0.25">
      <c r="A232" s="8">
        <f>A229/A230</f>
        <v>0.19999999999999998</v>
      </c>
      <c r="B232" t="s">
        <v>367</v>
      </c>
    </row>
    <row r="234" spans="1:2" x14ac:dyDescent="0.25">
      <c r="A234" t="s">
        <v>376</v>
      </c>
    </row>
    <row r="236" spans="1:2" x14ac:dyDescent="0.25">
      <c r="A236" s="96" t="s">
        <v>375</v>
      </c>
      <c r="B236" s="96"/>
    </row>
    <row r="237" spans="1:2" x14ac:dyDescent="0.25">
      <c r="A237">
        <f>A229/2</f>
        <v>2.4</v>
      </c>
      <c r="B237" t="s">
        <v>377</v>
      </c>
    </row>
    <row r="238" spans="1:2" x14ac:dyDescent="0.25">
      <c r="A238" s="48">
        <f>A237*0.0254</f>
        <v>6.0959999999999993E-2</v>
      </c>
      <c r="B238" t="s">
        <v>379</v>
      </c>
    </row>
    <row r="239" spans="1:2" x14ac:dyDescent="0.25">
      <c r="A239" s="25">
        <f>A221</f>
        <v>532</v>
      </c>
      <c r="B239" t="s">
        <v>340</v>
      </c>
    </row>
    <row r="240" spans="1:2" x14ac:dyDescent="0.25">
      <c r="A240">
        <f>A239*((2*PI())/60)*A238</f>
        <v>3.3961370567542519</v>
      </c>
      <c r="B240" t="s">
        <v>378</v>
      </c>
    </row>
    <row r="242" spans="1:2" x14ac:dyDescent="0.25">
      <c r="A242" s="8">
        <f>A240*A238</f>
        <v>0.20702851497973918</v>
      </c>
      <c r="B242" t="s">
        <v>380</v>
      </c>
    </row>
    <row r="244" spans="1:2" x14ac:dyDescent="0.25">
      <c r="A244" t="s">
        <v>381</v>
      </c>
    </row>
    <row r="246" spans="1:2" x14ac:dyDescent="0.25">
      <c r="A246">
        <f>(6.1+A242)/6.1</f>
        <v>1.0339391008163508</v>
      </c>
      <c r="B246" t="s">
        <v>382</v>
      </c>
    </row>
    <row r="249" spans="1:2" x14ac:dyDescent="0.25">
      <c r="A249" t="s">
        <v>383</v>
      </c>
    </row>
    <row r="251" spans="1:2" x14ac:dyDescent="0.25">
      <c r="A251" s="8">
        <f>((60*A223)/(A238*A221*(2*PI())))</f>
        <v>10.349994541620024</v>
      </c>
      <c r="B251" t="s">
        <v>385</v>
      </c>
    </row>
    <row r="254" spans="1:2" x14ac:dyDescent="0.25">
      <c r="A254" t="s">
        <v>387</v>
      </c>
    </row>
    <row r="256" spans="1:2" x14ac:dyDescent="0.25">
      <c r="A256">
        <f>A230</f>
        <v>24</v>
      </c>
      <c r="B256" t="s">
        <v>195</v>
      </c>
    </row>
    <row r="258" spans="1:2" x14ac:dyDescent="0.25">
      <c r="A258" s="8">
        <v>0.33700000000000002</v>
      </c>
      <c r="B258" t="s">
        <v>386</v>
      </c>
    </row>
    <row r="261" spans="1:2" x14ac:dyDescent="0.25">
      <c r="A261" t="s">
        <v>388</v>
      </c>
    </row>
    <row r="268" spans="1:2" x14ac:dyDescent="0.25">
      <c r="A268">
        <f t="shared" ref="A268:B268" si="25">A246</f>
        <v>1.0339391008163508</v>
      </c>
      <c r="B268" t="str">
        <f t="shared" si="25"/>
        <v>K_v</v>
      </c>
    </row>
    <row r="269" spans="1:2" x14ac:dyDescent="0.25">
      <c r="A269">
        <f t="shared" ref="A269:B269" si="26">A251</f>
        <v>10.349994541620024</v>
      </c>
      <c r="B269" t="str">
        <f t="shared" si="26"/>
        <v>W^t</v>
      </c>
    </row>
    <row r="270" spans="1:2" x14ac:dyDescent="0.25">
      <c r="A270">
        <f>A222</f>
        <v>2.5</v>
      </c>
      <c r="B270" t="s">
        <v>368</v>
      </c>
    </row>
    <row r="271" spans="1:2" x14ac:dyDescent="0.25">
      <c r="A271" s="8">
        <f>A232</f>
        <v>0.19999999999999998</v>
      </c>
      <c r="B271" t="s">
        <v>367</v>
      </c>
    </row>
    <row r="272" spans="1:2" x14ac:dyDescent="0.25">
      <c r="A272" s="8">
        <v>0.33700000000000002</v>
      </c>
      <c r="B272" t="s">
        <v>386</v>
      </c>
    </row>
    <row r="274" spans="1:2" x14ac:dyDescent="0.25">
      <c r="A274" s="8">
        <f>A268*(A269/(A270*A271*A272))</f>
        <v>63.508985458853097</v>
      </c>
      <c r="B274" t="s">
        <v>389</v>
      </c>
    </row>
    <row r="275" spans="1:2" x14ac:dyDescent="0.25">
      <c r="A275" s="8">
        <f>A274</f>
        <v>63.508985458853097</v>
      </c>
      <c r="B275" t="s">
        <v>395</v>
      </c>
    </row>
    <row r="282" spans="1:2" x14ac:dyDescent="0.25">
      <c r="A282" t="s">
        <v>390</v>
      </c>
    </row>
    <row r="283" spans="1:2" x14ac:dyDescent="0.25">
      <c r="A283" s="40">
        <v>0.99</v>
      </c>
      <c r="B283" t="s">
        <v>304</v>
      </c>
    </row>
    <row r="284" spans="1:2" x14ac:dyDescent="0.25">
      <c r="A284" t="s">
        <v>305</v>
      </c>
      <c r="B284" t="s">
        <v>306</v>
      </c>
    </row>
    <row r="286" spans="1:2" x14ac:dyDescent="0.25">
      <c r="A286">
        <v>1</v>
      </c>
      <c r="B286" t="s">
        <v>391</v>
      </c>
    </row>
    <row r="288" spans="1:2" x14ac:dyDescent="0.25">
      <c r="A288" t="s">
        <v>393</v>
      </c>
    </row>
    <row r="289" spans="1:2" x14ac:dyDescent="0.25">
      <c r="A289" t="s">
        <v>394</v>
      </c>
    </row>
    <row r="291" spans="1:2" x14ac:dyDescent="0.25">
      <c r="A291">
        <v>379</v>
      </c>
      <c r="B291" t="s">
        <v>398</v>
      </c>
    </row>
    <row r="292" spans="1:2" x14ac:dyDescent="0.25">
      <c r="A292">
        <f>A275</f>
        <v>63.508985458853097</v>
      </c>
      <c r="B292" t="s">
        <v>399</v>
      </c>
    </row>
    <row r="293" spans="1:2" x14ac:dyDescent="0.25">
      <c r="B293" t="s">
        <v>396</v>
      </c>
    </row>
    <row r="294" spans="1:2" x14ac:dyDescent="0.25">
      <c r="A294">
        <f>A286</f>
        <v>1</v>
      </c>
      <c r="B294" t="s">
        <v>397</v>
      </c>
    </row>
    <row r="296" spans="1:2" x14ac:dyDescent="0.25">
      <c r="A296" t="s">
        <v>400</v>
      </c>
    </row>
    <row r="297" spans="1:2" x14ac:dyDescent="0.25">
      <c r="A297" t="s">
        <v>401</v>
      </c>
    </row>
    <row r="301" spans="1:2" x14ac:dyDescent="0.25">
      <c r="A301" t="s">
        <v>402</v>
      </c>
    </row>
    <row r="302" spans="1:2" x14ac:dyDescent="0.25">
      <c r="A302">
        <v>1</v>
      </c>
      <c r="B302" t="s">
        <v>403</v>
      </c>
    </row>
    <row r="303" spans="1:2" x14ac:dyDescent="0.25">
      <c r="A303" s="25">
        <f>A239</f>
        <v>532</v>
      </c>
      <c r="B303" t="s">
        <v>340</v>
      </c>
    </row>
    <row r="305" spans="1:2" x14ac:dyDescent="0.25">
      <c r="A305" t="s">
        <v>404</v>
      </c>
    </row>
    <row r="306" spans="1:2" x14ac:dyDescent="0.25">
      <c r="A306">
        <v>5</v>
      </c>
      <c r="B306" t="s">
        <v>405</v>
      </c>
    </row>
    <row r="307" spans="1:2" x14ac:dyDescent="0.25">
      <c r="A307">
        <v>5</v>
      </c>
      <c r="B307" t="s">
        <v>406</v>
      </c>
    </row>
    <row r="308" spans="1:2" x14ac:dyDescent="0.25">
      <c r="A308">
        <v>10</v>
      </c>
      <c r="B308" t="s">
        <v>407</v>
      </c>
    </row>
    <row r="309" spans="1:2" x14ac:dyDescent="0.25">
      <c r="A309" s="5" t="s">
        <v>408</v>
      </c>
    </row>
    <row r="310" spans="1:2" x14ac:dyDescent="0.25">
      <c r="A310">
        <f>A306*A307*52*A308</f>
        <v>13000</v>
      </c>
      <c r="B310" t="s">
        <v>409</v>
      </c>
    </row>
    <row r="313" spans="1:2" x14ac:dyDescent="0.25">
      <c r="A313" s="49">
        <f>60*A310*A303*A302</f>
        <v>414960000</v>
      </c>
      <c r="B313" t="s">
        <v>410</v>
      </c>
    </row>
    <row r="314" spans="1:2" x14ac:dyDescent="0.25">
      <c r="A314" s="5" t="s">
        <v>411</v>
      </c>
    </row>
    <row r="316" spans="1:2" x14ac:dyDescent="0.25">
      <c r="A316">
        <v>0.96</v>
      </c>
      <c r="B316" t="s">
        <v>412</v>
      </c>
    </row>
    <row r="319" spans="1:2" x14ac:dyDescent="0.25">
      <c r="A319" t="s">
        <v>413</v>
      </c>
    </row>
    <row r="324" spans="1:2" x14ac:dyDescent="0.25">
      <c r="A324" s="50">
        <f>((A291)/(A292))*((A316)/(A294))</f>
        <v>5.7289531138192826</v>
      </c>
      <c r="B324" t="s">
        <v>414</v>
      </c>
    </row>
    <row r="326" spans="1:2" x14ac:dyDescent="0.25">
      <c r="A326" t="s">
        <v>415</v>
      </c>
    </row>
  </sheetData>
  <mergeCells count="2">
    <mergeCell ref="A236:B236"/>
    <mergeCell ref="K199:O199"/>
  </mergeCells>
  <conditionalFormatting sqref="B173:V193">
    <cfRule type="colorScale" priority="1">
      <colorScale>
        <cfvo type="num" val="$E$126-0.2"/>
        <cfvo type="num" val="$E$126"/>
        <cfvo type="num" val="$E$126+0.2"/>
        <color theme="0"/>
        <color rgb="FF00B050"/>
        <color theme="0"/>
      </colorScale>
    </cfRule>
  </conditionalFormatting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04E9-94A4-407E-97BE-A0351C094905}">
  <dimension ref="A21:G504"/>
  <sheetViews>
    <sheetView topLeftCell="A465" zoomScale="85" zoomScaleNormal="85" workbookViewId="0">
      <selection activeCell="G488" sqref="G488"/>
    </sheetView>
  </sheetViews>
  <sheetFormatPr defaultRowHeight="15" x14ac:dyDescent="0.25"/>
  <cols>
    <col min="1" max="1" width="12.28515625" bestFit="1" customWidth="1"/>
    <col min="2" max="2" width="12" bestFit="1" customWidth="1"/>
    <col min="4" max="4" width="12" bestFit="1" customWidth="1"/>
    <col min="5" max="5" width="11.140625" bestFit="1" customWidth="1"/>
    <col min="7" max="7" width="12.140625" bestFit="1" customWidth="1"/>
  </cols>
  <sheetData>
    <row r="21" spans="1:3" x14ac:dyDescent="0.25">
      <c r="A21" t="s">
        <v>419</v>
      </c>
    </row>
    <row r="22" spans="1:3" x14ac:dyDescent="0.25">
      <c r="A22">
        <v>2</v>
      </c>
      <c r="B22" t="s">
        <v>420</v>
      </c>
    </row>
    <row r="23" spans="1:3" x14ac:dyDescent="0.25">
      <c r="A23">
        <v>0.99</v>
      </c>
      <c r="B23" t="s">
        <v>421</v>
      </c>
    </row>
    <row r="25" spans="1:3" x14ac:dyDescent="0.25">
      <c r="A25" t="s">
        <v>422</v>
      </c>
    </row>
    <row r="26" spans="1:3" x14ac:dyDescent="0.25">
      <c r="A26" t="s">
        <v>423</v>
      </c>
    </row>
    <row r="27" spans="1:3" x14ac:dyDescent="0.25">
      <c r="A27" s="5" t="s">
        <v>24</v>
      </c>
      <c r="B27" s="25">
        <v>532</v>
      </c>
      <c r="C27" t="s">
        <v>424</v>
      </c>
    </row>
    <row r="28" spans="1:3" x14ac:dyDescent="0.25">
      <c r="A28" s="5" t="s">
        <v>24</v>
      </c>
      <c r="B28">
        <f>B27*(2*PI())/60</f>
        <v>55.710909723659</v>
      </c>
      <c r="C28" t="s">
        <v>34</v>
      </c>
    </row>
    <row r="30" spans="1:3" x14ac:dyDescent="0.25">
      <c r="A30" t="s">
        <v>425</v>
      </c>
    </row>
    <row r="31" spans="1:3" x14ac:dyDescent="0.25">
      <c r="A31" s="5" t="s">
        <v>24</v>
      </c>
      <c r="B31" s="5" t="s">
        <v>426</v>
      </c>
    </row>
    <row r="32" spans="1:3" x14ac:dyDescent="0.25">
      <c r="A32" s="5" t="s">
        <v>24</v>
      </c>
      <c r="B32">
        <f>37*0.95</f>
        <v>35.15</v>
      </c>
      <c r="C32" t="s">
        <v>31</v>
      </c>
    </row>
    <row r="34" spans="1:2" x14ac:dyDescent="0.25">
      <c r="A34" t="s">
        <v>427</v>
      </c>
    </row>
    <row r="36" spans="1:2" x14ac:dyDescent="0.25">
      <c r="A36" t="s">
        <v>428</v>
      </c>
    </row>
    <row r="37" spans="1:2" x14ac:dyDescent="0.25">
      <c r="A37" s="5" t="s">
        <v>430</v>
      </c>
    </row>
    <row r="38" spans="1:2" x14ac:dyDescent="0.25">
      <c r="A38">
        <v>0.22</v>
      </c>
      <c r="B38" t="s">
        <v>431</v>
      </c>
    </row>
    <row r="39" spans="1:2" x14ac:dyDescent="0.25">
      <c r="A39">
        <v>0.15</v>
      </c>
      <c r="B39" t="s">
        <v>432</v>
      </c>
    </row>
    <row r="40" spans="1:2" x14ac:dyDescent="0.25">
      <c r="A40" s="5" t="s">
        <v>429</v>
      </c>
    </row>
    <row r="41" spans="1:2" x14ac:dyDescent="0.25">
      <c r="A41">
        <f>A39+3*A38</f>
        <v>0.81</v>
      </c>
      <c r="B41" t="s">
        <v>367</v>
      </c>
    </row>
    <row r="43" spans="1:2" x14ac:dyDescent="0.25">
      <c r="A43" t="s">
        <v>433</v>
      </c>
    </row>
    <row r="44" spans="1:2" x14ac:dyDescent="0.25">
      <c r="A44" s="5" t="s">
        <v>24</v>
      </c>
      <c r="B44" t="s">
        <v>434</v>
      </c>
    </row>
    <row r="46" spans="1:2" x14ac:dyDescent="0.25">
      <c r="A46" t="s">
        <v>435</v>
      </c>
    </row>
    <row r="47" spans="1:2" x14ac:dyDescent="0.25">
      <c r="A47" s="5" t="s">
        <v>24</v>
      </c>
      <c r="B47" t="s">
        <v>434</v>
      </c>
    </row>
    <row r="51" spans="1:2" x14ac:dyDescent="0.25">
      <c r="A51" t="s">
        <v>436</v>
      </c>
    </row>
    <row r="52" spans="1:2" x14ac:dyDescent="0.25">
      <c r="A52" s="5" t="s">
        <v>24</v>
      </c>
      <c r="B52" t="s">
        <v>434</v>
      </c>
    </row>
    <row r="55" spans="1:2" x14ac:dyDescent="0.25">
      <c r="A55" t="s">
        <v>437</v>
      </c>
    </row>
    <row r="56" spans="1:2" x14ac:dyDescent="0.25">
      <c r="A56" s="5" t="s">
        <v>24</v>
      </c>
      <c r="B56" t="s">
        <v>434</v>
      </c>
    </row>
    <row r="59" spans="1:2" x14ac:dyDescent="0.25">
      <c r="A59" t="s">
        <v>438</v>
      </c>
    </row>
    <row r="60" spans="1:2" x14ac:dyDescent="0.25">
      <c r="A60" s="5" t="s">
        <v>439</v>
      </c>
      <c r="B60" t="s">
        <v>440</v>
      </c>
    </row>
    <row r="61" spans="1:2" x14ac:dyDescent="0.25">
      <c r="A61" t="s">
        <v>443</v>
      </c>
    </row>
    <row r="62" spans="1:2" x14ac:dyDescent="0.25">
      <c r="A62">
        <v>572.28</v>
      </c>
      <c r="B62" t="s">
        <v>441</v>
      </c>
    </row>
    <row r="63" spans="1:2" x14ac:dyDescent="0.25">
      <c r="A63">
        <v>813.61</v>
      </c>
      <c r="B63" t="s">
        <v>442</v>
      </c>
    </row>
    <row r="64" spans="1:2" x14ac:dyDescent="0.25">
      <c r="A64" t="s">
        <v>445</v>
      </c>
    </row>
    <row r="65" spans="1:2" x14ac:dyDescent="0.25">
      <c r="A65">
        <v>289.58999999999997</v>
      </c>
      <c r="B65" t="s">
        <v>444</v>
      </c>
    </row>
    <row r="68" spans="1:2" x14ac:dyDescent="0.25">
      <c r="A68" t="s">
        <v>446</v>
      </c>
    </row>
    <row r="73" spans="1:2" x14ac:dyDescent="0.25">
      <c r="A73">
        <v>1</v>
      </c>
      <c r="B73" t="s">
        <v>447</v>
      </c>
    </row>
    <row r="74" spans="1:2" x14ac:dyDescent="0.25">
      <c r="A74">
        <v>1</v>
      </c>
      <c r="B74" t="s">
        <v>448</v>
      </c>
    </row>
    <row r="75" spans="1:2" x14ac:dyDescent="0.25">
      <c r="A75">
        <v>0.81</v>
      </c>
      <c r="B75" t="s">
        <v>449</v>
      </c>
    </row>
    <row r="76" spans="1:2" x14ac:dyDescent="0.25">
      <c r="A76">
        <v>0.75</v>
      </c>
      <c r="B76" t="s">
        <v>450</v>
      </c>
    </row>
    <row r="77" spans="1:2" x14ac:dyDescent="0.25">
      <c r="A77">
        <f>A65*A73*A74*A75*A76</f>
        <v>175.92592500000001</v>
      </c>
      <c r="B77" t="s">
        <v>451</v>
      </c>
    </row>
    <row r="144" spans="1:1" x14ac:dyDescent="0.25">
      <c r="A144" t="s">
        <v>457</v>
      </c>
    </row>
    <row r="146" spans="1:7" x14ac:dyDescent="0.25">
      <c r="A146" t="s">
        <v>452</v>
      </c>
    </row>
    <row r="147" spans="1:7" x14ac:dyDescent="0.25">
      <c r="A147">
        <f>B32</f>
        <v>35.15</v>
      </c>
      <c r="B147" t="s">
        <v>455</v>
      </c>
      <c r="C147" s="5" t="s">
        <v>456</v>
      </c>
    </row>
    <row r="148" spans="1:7" x14ac:dyDescent="0.25">
      <c r="A148">
        <f>B28</f>
        <v>55.710909723659</v>
      </c>
      <c r="B148" t="s">
        <v>453</v>
      </c>
    </row>
    <row r="149" spans="1:7" x14ac:dyDescent="0.25">
      <c r="A149">
        <f>(1000*A147)/A148</f>
        <v>630.93566725715652</v>
      </c>
      <c r="B149" t="s">
        <v>454</v>
      </c>
    </row>
    <row r="152" spans="1:7" x14ac:dyDescent="0.25">
      <c r="A152" s="6" t="s">
        <v>480</v>
      </c>
    </row>
    <row r="153" spans="1:7" x14ac:dyDescent="0.25">
      <c r="A153" t="s">
        <v>479</v>
      </c>
    </row>
    <row r="155" spans="1:7" x14ac:dyDescent="0.25">
      <c r="A155" t="s">
        <v>458</v>
      </c>
      <c r="D155" t="s">
        <v>473</v>
      </c>
      <c r="G155">
        <f>20*(PI()/180)</f>
        <v>0.3490658503988659</v>
      </c>
    </row>
    <row r="164" spans="1:7" x14ac:dyDescent="0.25">
      <c r="A164" t="s">
        <v>459</v>
      </c>
    </row>
    <row r="165" spans="1:7" x14ac:dyDescent="0.25">
      <c r="A165" t="s">
        <v>460</v>
      </c>
    </row>
    <row r="166" spans="1:7" x14ac:dyDescent="0.25">
      <c r="A166">
        <f>A147*1.34102</f>
        <v>47.136853000000002</v>
      </c>
      <c r="B166" t="s">
        <v>461</v>
      </c>
    </row>
    <row r="167" spans="1:7" x14ac:dyDescent="0.25">
      <c r="A167">
        <f>63000*(A166)/B27</f>
        <v>5581.99575</v>
      </c>
      <c r="B167" t="s">
        <v>462</v>
      </c>
      <c r="D167" t="s">
        <v>463</v>
      </c>
      <c r="G167">
        <f>A167*0.112984829333333</f>
        <v>630.68083715314015</v>
      </c>
    </row>
    <row r="168" spans="1:7" x14ac:dyDescent="0.25">
      <c r="G168" s="51" t="s">
        <v>464</v>
      </c>
    </row>
    <row r="178" spans="1:5" x14ac:dyDescent="0.25">
      <c r="A178">
        <f>A167</f>
        <v>5581.99575</v>
      </c>
      <c r="B178" t="s">
        <v>465</v>
      </c>
    </row>
    <row r="179" spans="1:5" x14ac:dyDescent="0.25">
      <c r="A179">
        <f>'Part c)'!A409</f>
        <v>11.155820055209022</v>
      </c>
      <c r="B179" t="s">
        <v>466</v>
      </c>
    </row>
    <row r="180" spans="1:5" x14ac:dyDescent="0.25">
      <c r="A180">
        <f>A178/(A179/2)</f>
        <v>1000.7324826638059</v>
      </c>
      <c r="B180" t="s">
        <v>467</v>
      </c>
      <c r="D180">
        <f>A180*4.448</f>
        <v>4451.2580828886084</v>
      </c>
      <c r="E180" t="s">
        <v>483</v>
      </c>
    </row>
    <row r="182" spans="1:5" x14ac:dyDescent="0.25">
      <c r="A182" t="s">
        <v>468</v>
      </c>
    </row>
    <row r="187" spans="1:5" x14ac:dyDescent="0.25">
      <c r="A187">
        <v>4.79</v>
      </c>
      <c r="B187" t="s">
        <v>472</v>
      </c>
    </row>
    <row r="188" spans="1:5" x14ac:dyDescent="0.25">
      <c r="A188">
        <f>A187*(PI()/180)</f>
        <v>8.3601271170528388E-2</v>
      </c>
      <c r="B188" t="s">
        <v>471</v>
      </c>
    </row>
    <row r="190" spans="1:5" x14ac:dyDescent="0.25">
      <c r="A190">
        <f>A180*(COS(A188))</f>
        <v>997.237373041208</v>
      </c>
      <c r="B190" t="s">
        <v>477</v>
      </c>
      <c r="C190" s="5" t="s">
        <v>481</v>
      </c>
      <c r="D190">
        <f>A190*4.448</f>
        <v>4435.711835287294</v>
      </c>
      <c r="E190" t="s">
        <v>483</v>
      </c>
    </row>
    <row r="191" spans="1:5" x14ac:dyDescent="0.25">
      <c r="A191">
        <f>A180*(SIN(A188))</f>
        <v>83.565086419718682</v>
      </c>
      <c r="B191" t="s">
        <v>478</v>
      </c>
      <c r="C191" t="s">
        <v>482</v>
      </c>
      <c r="D191">
        <f>A191*4.448</f>
        <v>371.69750439490872</v>
      </c>
      <c r="E191" t="s">
        <v>483</v>
      </c>
    </row>
    <row r="207" spans="1:2" x14ac:dyDescent="0.25">
      <c r="A207" t="s">
        <v>469</v>
      </c>
    </row>
    <row r="208" spans="1:2" x14ac:dyDescent="0.25">
      <c r="A208">
        <v>4.8</v>
      </c>
      <c r="B208" t="s">
        <v>470</v>
      </c>
    </row>
    <row r="209" spans="1:5" x14ac:dyDescent="0.25">
      <c r="A209">
        <f>A178/(A208/2)</f>
        <v>2325.8315625</v>
      </c>
      <c r="B209" t="s">
        <v>476</v>
      </c>
      <c r="C209" t="s">
        <v>482</v>
      </c>
      <c r="D209">
        <f>A209*4.448</f>
        <v>10345.298790000001</v>
      </c>
      <c r="E209" t="s">
        <v>483</v>
      </c>
    </row>
    <row r="217" spans="1:5" x14ac:dyDescent="0.25">
      <c r="A217">
        <f>G155</f>
        <v>0.3490658503988659</v>
      </c>
      <c r="B217" t="s">
        <v>474</v>
      </c>
    </row>
    <row r="218" spans="1:5" x14ac:dyDescent="0.25">
      <c r="A218">
        <f>A209*(TAN(G155))</f>
        <v>846.53345866685243</v>
      </c>
      <c r="B218" t="s">
        <v>475</v>
      </c>
      <c r="C218" t="s">
        <v>481</v>
      </c>
      <c r="D218">
        <f>A218*4.448</f>
        <v>3765.3808241501602</v>
      </c>
      <c r="E218" t="s">
        <v>483</v>
      </c>
    </row>
    <row r="220" spans="1:5" x14ac:dyDescent="0.25">
      <c r="A220" t="s">
        <v>484</v>
      </c>
    </row>
    <row r="397" spans="1:2" x14ac:dyDescent="0.25">
      <c r="A397" t="s">
        <v>485</v>
      </c>
    </row>
    <row r="398" spans="1:2" x14ac:dyDescent="0.25">
      <c r="A398" t="s">
        <v>486</v>
      </c>
    </row>
    <row r="399" spans="1:2" x14ac:dyDescent="0.25">
      <c r="A399" t="s">
        <v>467</v>
      </c>
      <c r="B399" t="s">
        <v>487</v>
      </c>
    </row>
    <row r="400" spans="1:2" x14ac:dyDescent="0.25">
      <c r="A400" t="s">
        <v>488</v>
      </c>
      <c r="B400" t="s">
        <v>489</v>
      </c>
    </row>
    <row r="401" spans="1:2" x14ac:dyDescent="0.25">
      <c r="A401" t="s">
        <v>490</v>
      </c>
      <c r="B401" t="s">
        <v>491</v>
      </c>
    </row>
    <row r="402" spans="1:2" x14ac:dyDescent="0.25">
      <c r="A402" t="s">
        <v>492</v>
      </c>
      <c r="B402" t="s">
        <v>493</v>
      </c>
    </row>
    <row r="404" spans="1:2" x14ac:dyDescent="0.25">
      <c r="A404" t="s">
        <v>494</v>
      </c>
    </row>
    <row r="405" spans="1:2" x14ac:dyDescent="0.25">
      <c r="A405" t="s">
        <v>495</v>
      </c>
    </row>
    <row r="406" spans="1:2" x14ac:dyDescent="0.25">
      <c r="A406" t="s">
        <v>496</v>
      </c>
    </row>
    <row r="407" spans="1:2" x14ac:dyDescent="0.25">
      <c r="A407" t="s">
        <v>497</v>
      </c>
    </row>
    <row r="417" spans="1:5" x14ac:dyDescent="0.25">
      <c r="A417">
        <v>2</v>
      </c>
      <c r="B417" t="s">
        <v>498</v>
      </c>
    </row>
    <row r="418" spans="1:5" x14ac:dyDescent="0.25">
      <c r="A418">
        <f>A149</f>
        <v>630.93566725715652</v>
      </c>
      <c r="B418" t="s">
        <v>454</v>
      </c>
    </row>
    <row r="419" spans="1:5" x14ac:dyDescent="0.25">
      <c r="A419">
        <f>A62</f>
        <v>572.28</v>
      </c>
      <c r="B419" t="s">
        <v>441</v>
      </c>
      <c r="C419" s="5" t="s">
        <v>502</v>
      </c>
      <c r="E419">
        <f>A419*10^6</f>
        <v>572280000</v>
      </c>
    </row>
    <row r="421" spans="1:5" x14ac:dyDescent="0.25">
      <c r="A421">
        <f>((32*A417)/PI())</f>
        <v>20.371832715762604</v>
      </c>
      <c r="B421" s="5" t="s">
        <v>499</v>
      </c>
    </row>
    <row r="422" spans="1:5" x14ac:dyDescent="0.25">
      <c r="A422">
        <f>(3/4)*((A418/E419)^2)</f>
        <v>9.1162092363192226E-13</v>
      </c>
      <c r="B422" s="5" t="s">
        <v>503</v>
      </c>
    </row>
    <row r="423" spans="1:5" x14ac:dyDescent="0.25">
      <c r="A423">
        <f>SQRT(A422)</f>
        <v>9.5478841825397231E-7</v>
      </c>
      <c r="B423" s="5" t="s">
        <v>500</v>
      </c>
    </row>
    <row r="425" spans="1:5" x14ac:dyDescent="0.25">
      <c r="A425">
        <f>((A421*A423)^(1/3))</f>
        <v>2.6893402257669764E-2</v>
      </c>
      <c r="B425" s="5" t="s">
        <v>501</v>
      </c>
      <c r="E425" s="5" t="s">
        <v>504</v>
      </c>
    </row>
    <row r="426" spans="1:5" x14ac:dyDescent="0.25">
      <c r="A426">
        <f>A425*1000</f>
        <v>26.893402257669763</v>
      </c>
      <c r="B426" s="5" t="s">
        <v>505</v>
      </c>
    </row>
    <row r="428" spans="1:5" x14ac:dyDescent="0.25">
      <c r="A428" t="s">
        <v>506</v>
      </c>
    </row>
    <row r="429" spans="1:5" x14ac:dyDescent="0.25">
      <c r="A429" t="s">
        <v>507</v>
      </c>
    </row>
    <row r="430" spans="1:5" x14ac:dyDescent="0.25">
      <c r="A430" t="s">
        <v>508</v>
      </c>
    </row>
    <row r="432" spans="1:5" x14ac:dyDescent="0.25">
      <c r="A432">
        <v>1.5</v>
      </c>
      <c r="B432" t="s">
        <v>510</v>
      </c>
    </row>
    <row r="433" spans="1:5" x14ac:dyDescent="0.25">
      <c r="A433">
        <v>630.93566725715652</v>
      </c>
      <c r="B433" t="s">
        <v>454</v>
      </c>
    </row>
    <row r="435" spans="1:5" x14ac:dyDescent="0.25">
      <c r="A435" s="5" t="s">
        <v>511</v>
      </c>
      <c r="E435" s="5" t="s">
        <v>214</v>
      </c>
    </row>
    <row r="437" spans="1:5" x14ac:dyDescent="0.25">
      <c r="A437">
        <f>665.36</f>
        <v>665.36</v>
      </c>
      <c r="B437" t="s">
        <v>513</v>
      </c>
    </row>
    <row r="438" spans="1:5" x14ac:dyDescent="0.25">
      <c r="A438">
        <v>-55.75</v>
      </c>
      <c r="B438" t="s">
        <v>512</v>
      </c>
    </row>
    <row r="439" spans="1:5" x14ac:dyDescent="0.25">
      <c r="A439" s="22">
        <f>SQRT(((A437)^2)+((A438)^2))</f>
        <v>667.69153963488259</v>
      </c>
      <c r="B439" s="8" t="s">
        <v>514</v>
      </c>
    </row>
    <row r="450" spans="1:2" x14ac:dyDescent="0.25">
      <c r="A450">
        <f>A421</f>
        <v>20.371832715762604</v>
      </c>
      <c r="B450" s="5" t="s">
        <v>214</v>
      </c>
    </row>
    <row r="455" spans="1:2" x14ac:dyDescent="0.25">
      <c r="A455">
        <f>((A432*A439)/(A77*10^6))^2</f>
        <v>3.2409667711438053E-11</v>
      </c>
      <c r="B455" s="5" t="s">
        <v>214</v>
      </c>
    </row>
    <row r="461" spans="1:2" x14ac:dyDescent="0.25">
      <c r="A461">
        <f>A422</f>
        <v>9.1162092363192226E-13</v>
      </c>
      <c r="B461" s="5" t="s">
        <v>214</v>
      </c>
    </row>
    <row r="467" spans="1:4" x14ac:dyDescent="0.25">
      <c r="A467">
        <f>(A450*(SQRT(A455+A461)))^1/3</f>
        <v>3.9198526404916503E-5</v>
      </c>
      <c r="B467" s="5" t="s">
        <v>214</v>
      </c>
      <c r="D467" t="s">
        <v>515</v>
      </c>
    </row>
    <row r="468" spans="1:4" x14ac:dyDescent="0.25">
      <c r="A468">
        <f>A467*1000</f>
        <v>3.9198526404916501E-2</v>
      </c>
    </row>
    <row r="469" spans="1:4" x14ac:dyDescent="0.25">
      <c r="A469" s="6" t="s">
        <v>516</v>
      </c>
    </row>
    <row r="470" spans="1:4" x14ac:dyDescent="0.25">
      <c r="A470" s="8">
        <v>36.54</v>
      </c>
      <c r="B470" s="8" t="s">
        <v>517</v>
      </c>
    </row>
    <row r="472" spans="1:4" x14ac:dyDescent="0.25">
      <c r="A472" t="s">
        <v>518</v>
      </c>
    </row>
    <row r="473" spans="1:4" x14ac:dyDescent="0.25">
      <c r="A473" t="s">
        <v>519</v>
      </c>
    </row>
    <row r="474" spans="1:4" x14ac:dyDescent="0.25">
      <c r="A474">
        <v>2.5</v>
      </c>
      <c r="B474" t="s">
        <v>509</v>
      </c>
    </row>
    <row r="475" spans="1:4" x14ac:dyDescent="0.25">
      <c r="A475" t="s">
        <v>520</v>
      </c>
    </row>
    <row r="476" spans="1:4" x14ac:dyDescent="0.25">
      <c r="A476" t="s">
        <v>521</v>
      </c>
    </row>
    <row r="477" spans="1:4" x14ac:dyDescent="0.25">
      <c r="A477">
        <v>42.2</v>
      </c>
      <c r="B477" t="s">
        <v>522</v>
      </c>
    </row>
    <row r="479" spans="1:4" x14ac:dyDescent="0.25">
      <c r="A479" t="s">
        <v>529</v>
      </c>
    </row>
    <row r="481" spans="1:2" x14ac:dyDescent="0.25">
      <c r="A481" t="s">
        <v>530</v>
      </c>
    </row>
    <row r="482" spans="1:2" x14ac:dyDescent="0.25">
      <c r="A482">
        <v>2</v>
      </c>
      <c r="B482" t="s">
        <v>509</v>
      </c>
    </row>
    <row r="483" spans="1:2" x14ac:dyDescent="0.25">
      <c r="A483">
        <f>A433</f>
        <v>630.93566725715652</v>
      </c>
      <c r="B483" t="s">
        <v>454</v>
      </c>
    </row>
    <row r="485" spans="1:2" x14ac:dyDescent="0.25">
      <c r="A485" s="5" t="s">
        <v>523</v>
      </c>
    </row>
    <row r="486" spans="1:2" x14ac:dyDescent="0.25">
      <c r="A486">
        <v>-2282.1799999999998</v>
      </c>
      <c r="B486" t="s">
        <v>524</v>
      </c>
    </row>
    <row r="487" spans="1:2" x14ac:dyDescent="0.25">
      <c r="A487">
        <v>1656.88</v>
      </c>
      <c r="B487" t="s">
        <v>525</v>
      </c>
    </row>
    <row r="488" spans="1:2" x14ac:dyDescent="0.25">
      <c r="A488" s="22">
        <f>SQRT(((A486)^2)+((A487)^2))</f>
        <v>2820.2122059873441</v>
      </c>
      <c r="B488" s="8" t="s">
        <v>526</v>
      </c>
    </row>
    <row r="490" spans="1:2" x14ac:dyDescent="0.25">
      <c r="A490">
        <v>64.73</v>
      </c>
      <c r="B490" t="s">
        <v>528</v>
      </c>
    </row>
    <row r="492" spans="1:2" x14ac:dyDescent="0.25">
      <c r="A492" t="s">
        <v>531</v>
      </c>
    </row>
    <row r="494" spans="1:2" x14ac:dyDescent="0.25">
      <c r="A494" s="5" t="s">
        <v>532</v>
      </c>
    </row>
    <row r="496" spans="1:2" x14ac:dyDescent="0.25">
      <c r="A496">
        <v>-3765.38</v>
      </c>
      <c r="B496" t="s">
        <v>533</v>
      </c>
    </row>
    <row r="497" spans="1:2" x14ac:dyDescent="0.25">
      <c r="A497">
        <v>10345.299999999999</v>
      </c>
      <c r="B497" t="s">
        <v>534</v>
      </c>
    </row>
    <row r="498" spans="1:2" x14ac:dyDescent="0.25">
      <c r="A498" s="22">
        <f>SQRT(((A496)^2)+((A497)^2))</f>
        <v>11009.237877092128</v>
      </c>
      <c r="B498" s="8" t="s">
        <v>535</v>
      </c>
    </row>
    <row r="500" spans="1:2" x14ac:dyDescent="0.25">
      <c r="A500">
        <v>2.5</v>
      </c>
      <c r="B500" t="s">
        <v>509</v>
      </c>
    </row>
    <row r="501" spans="1:2" x14ac:dyDescent="0.25">
      <c r="A501">
        <v>2</v>
      </c>
      <c r="B501" t="s">
        <v>483</v>
      </c>
    </row>
    <row r="502" spans="1:2" x14ac:dyDescent="0.25">
      <c r="A502">
        <f>A77</f>
        <v>175.92592500000001</v>
      </c>
      <c r="B502" t="s">
        <v>451</v>
      </c>
    </row>
    <row r="504" spans="1:2" x14ac:dyDescent="0.25">
      <c r="A504">
        <f>SQRT((2.94*A500*A498*A501)/A502)</f>
        <v>30.32999743667223</v>
      </c>
      <c r="B504" s="5" t="s">
        <v>536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51A65-AB69-4E67-9A8D-252EA1CC8A5E}">
  <dimension ref="A12:J102"/>
  <sheetViews>
    <sheetView zoomScale="40" zoomScaleNormal="40" workbookViewId="0">
      <selection activeCell="F100" sqref="F100"/>
    </sheetView>
  </sheetViews>
  <sheetFormatPr defaultRowHeight="15" x14ac:dyDescent="0.25"/>
  <cols>
    <col min="1" max="1" width="12.5703125" bestFit="1" customWidth="1"/>
    <col min="3" max="3" width="10.5703125" bestFit="1" customWidth="1"/>
    <col min="4" max="4" width="10.140625" customWidth="1"/>
  </cols>
  <sheetData>
    <row r="12" spans="1:2" x14ac:dyDescent="0.25">
      <c r="A12" t="s">
        <v>539</v>
      </c>
    </row>
    <row r="13" spans="1:2" x14ac:dyDescent="0.25">
      <c r="A13">
        <v>21.1</v>
      </c>
      <c r="B13" t="s">
        <v>537</v>
      </c>
    </row>
    <row r="14" spans="1:2" x14ac:dyDescent="0.25">
      <c r="A14">
        <v>15.16</v>
      </c>
      <c r="B14" t="s">
        <v>538</v>
      </c>
    </row>
    <row r="15" spans="1:2" x14ac:dyDescent="0.25">
      <c r="A15">
        <f>A13*2</f>
        <v>42.2</v>
      </c>
      <c r="B15" t="s">
        <v>551</v>
      </c>
    </row>
    <row r="16" spans="1:2" x14ac:dyDescent="0.25">
      <c r="A16">
        <f>A14*2</f>
        <v>30.32</v>
      </c>
      <c r="B16" t="s">
        <v>517</v>
      </c>
    </row>
    <row r="17" spans="1:4" x14ac:dyDescent="0.25">
      <c r="A17" t="s">
        <v>552</v>
      </c>
    </row>
    <row r="19" spans="1:4" x14ac:dyDescent="0.25">
      <c r="A19" t="s">
        <v>404</v>
      </c>
    </row>
    <row r="20" spans="1:4" x14ac:dyDescent="0.25">
      <c r="A20">
        <v>5</v>
      </c>
      <c r="B20" t="s">
        <v>405</v>
      </c>
    </row>
    <row r="21" spans="1:4" x14ac:dyDescent="0.25">
      <c r="A21">
        <v>5</v>
      </c>
      <c r="B21" t="s">
        <v>406</v>
      </c>
    </row>
    <row r="22" spans="1:4" x14ac:dyDescent="0.25">
      <c r="A22">
        <v>10</v>
      </c>
      <c r="B22" t="s">
        <v>407</v>
      </c>
    </row>
    <row r="23" spans="1:4" x14ac:dyDescent="0.25">
      <c r="A23" s="5" t="s">
        <v>408</v>
      </c>
    </row>
    <row r="24" spans="1:4" x14ac:dyDescent="0.25">
      <c r="A24">
        <f>A20*A21*52*A22</f>
        <v>13000</v>
      </c>
      <c r="B24" t="s">
        <v>409</v>
      </c>
    </row>
    <row r="26" spans="1:4" x14ac:dyDescent="0.25">
      <c r="A26" s="52">
        <v>0.9</v>
      </c>
      <c r="B26" t="s">
        <v>421</v>
      </c>
    </row>
    <row r="27" spans="1:4" x14ac:dyDescent="0.25">
      <c r="A27">
        <v>0.9</v>
      </c>
      <c r="B27" t="s">
        <v>540</v>
      </c>
    </row>
    <row r="30" spans="1:4" x14ac:dyDescent="0.25">
      <c r="A30" t="s">
        <v>541</v>
      </c>
    </row>
    <row r="31" spans="1:4" x14ac:dyDescent="0.25">
      <c r="A31">
        <v>6698.95</v>
      </c>
      <c r="B31" t="s">
        <v>542</v>
      </c>
      <c r="D31" t="s">
        <v>546</v>
      </c>
    </row>
    <row r="32" spans="1:4" x14ac:dyDescent="0.25">
      <c r="A32">
        <v>3892.34</v>
      </c>
      <c r="B32" t="s">
        <v>543</v>
      </c>
      <c r="D32" t="s">
        <v>547</v>
      </c>
    </row>
    <row r="33" spans="1:10" x14ac:dyDescent="0.25">
      <c r="A33">
        <v>1502.14</v>
      </c>
      <c r="B33" t="s">
        <v>544</v>
      </c>
    </row>
    <row r="34" spans="1:10" x14ac:dyDescent="0.25">
      <c r="A34">
        <v>6824.66</v>
      </c>
      <c r="B34" t="s">
        <v>545</v>
      </c>
    </row>
    <row r="36" spans="1:10" x14ac:dyDescent="0.25">
      <c r="A36">
        <f>SQRT(((A31)^2)+((A32)^2))</f>
        <v>7747.6604067357002</v>
      </c>
      <c r="B36" t="s">
        <v>548</v>
      </c>
    </row>
    <row r="37" spans="1:10" x14ac:dyDescent="0.25">
      <c r="A37">
        <f>SQRT(((A33)^2)+((A34)^2))</f>
        <v>6988.0189392416505</v>
      </c>
      <c r="B37" t="s">
        <v>549</v>
      </c>
    </row>
    <row r="38" spans="1:10" x14ac:dyDescent="0.25">
      <c r="A38" t="s">
        <v>550</v>
      </c>
    </row>
    <row r="40" spans="1:10" x14ac:dyDescent="0.25">
      <c r="A40" t="s">
        <v>554</v>
      </c>
    </row>
    <row r="41" spans="1:10" x14ac:dyDescent="0.25">
      <c r="A41" s="5">
        <v>1</v>
      </c>
      <c r="B41" t="s">
        <v>553</v>
      </c>
    </row>
    <row r="42" spans="1:10" x14ac:dyDescent="0.25">
      <c r="A42" t="s">
        <v>555</v>
      </c>
    </row>
    <row r="43" spans="1:10" x14ac:dyDescent="0.25">
      <c r="A43">
        <f>A36</f>
        <v>7747.6604067357002</v>
      </c>
      <c r="B43" t="s">
        <v>556</v>
      </c>
    </row>
    <row r="44" spans="1:10" x14ac:dyDescent="0.25">
      <c r="A44">
        <f>A37</f>
        <v>6988.0189392416505</v>
      </c>
      <c r="B44" t="s">
        <v>557</v>
      </c>
      <c r="J44" s="5"/>
    </row>
    <row r="46" spans="1:10" x14ac:dyDescent="0.25">
      <c r="A46" t="s">
        <v>558</v>
      </c>
    </row>
    <row r="47" spans="1:10" x14ac:dyDescent="0.25">
      <c r="A47" t="s">
        <v>539</v>
      </c>
    </row>
    <row r="48" spans="1:10" x14ac:dyDescent="0.25">
      <c r="A48">
        <v>21.1</v>
      </c>
      <c r="B48" t="s">
        <v>537</v>
      </c>
    </row>
    <row r="49" spans="1:3" x14ac:dyDescent="0.25">
      <c r="A49">
        <v>15.16</v>
      </c>
      <c r="B49" t="s">
        <v>538</v>
      </c>
    </row>
    <row r="50" spans="1:3" x14ac:dyDescent="0.25">
      <c r="A50">
        <f>A48*2</f>
        <v>42.2</v>
      </c>
      <c r="B50" t="s">
        <v>551</v>
      </c>
    </row>
    <row r="51" spans="1:3" x14ac:dyDescent="0.25">
      <c r="A51">
        <f>A49*2</f>
        <v>30.32</v>
      </c>
      <c r="B51" t="s">
        <v>517</v>
      </c>
    </row>
    <row r="52" spans="1:3" x14ac:dyDescent="0.25">
      <c r="A52" t="s">
        <v>552</v>
      </c>
    </row>
    <row r="54" spans="1:3" x14ac:dyDescent="0.25">
      <c r="A54" t="s">
        <v>559</v>
      </c>
    </row>
    <row r="55" spans="1:3" x14ac:dyDescent="0.25">
      <c r="A55" t="s">
        <v>404</v>
      </c>
    </row>
    <row r="56" spans="1:3" x14ac:dyDescent="0.25">
      <c r="A56">
        <v>5</v>
      </c>
      <c r="B56" t="s">
        <v>405</v>
      </c>
    </row>
    <row r="57" spans="1:3" x14ac:dyDescent="0.25">
      <c r="A57">
        <v>5</v>
      </c>
      <c r="B57" t="s">
        <v>406</v>
      </c>
    </row>
    <row r="58" spans="1:3" x14ac:dyDescent="0.25">
      <c r="A58">
        <v>10</v>
      </c>
      <c r="B58" t="s">
        <v>407</v>
      </c>
    </row>
    <row r="59" spans="1:3" x14ac:dyDescent="0.25">
      <c r="A59" s="5" t="s">
        <v>408</v>
      </c>
    </row>
    <row r="60" spans="1:3" x14ac:dyDescent="0.25">
      <c r="A60" s="53">
        <f>A56*A57*52*A58</f>
        <v>13000</v>
      </c>
      <c r="B60" s="54" t="s">
        <v>409</v>
      </c>
      <c r="C60" s="55"/>
    </row>
    <row r="62" spans="1:3" x14ac:dyDescent="0.25">
      <c r="A62" s="52">
        <v>0.9</v>
      </c>
      <c r="B62" t="s">
        <v>421</v>
      </c>
    </row>
    <row r="63" spans="1:3" x14ac:dyDescent="0.25">
      <c r="A63">
        <v>0.9</v>
      </c>
      <c r="B63" t="s">
        <v>540</v>
      </c>
    </row>
    <row r="65" spans="1:3" x14ac:dyDescent="0.25">
      <c r="A65" t="s">
        <v>561</v>
      </c>
    </row>
    <row r="66" spans="1:3" x14ac:dyDescent="0.25">
      <c r="A66" s="56">
        <f>A60*'Part d)'!A60*60</f>
        <v>414960000</v>
      </c>
      <c r="B66" t="s">
        <v>560</v>
      </c>
    </row>
    <row r="69" spans="1:3" x14ac:dyDescent="0.25">
      <c r="A69">
        <f>A43*(A$66/10^6)^(1/3)</f>
        <v>57788.220546481971</v>
      </c>
      <c r="B69" t="s">
        <v>562</v>
      </c>
    </row>
    <row r="70" spans="1:3" x14ac:dyDescent="0.25">
      <c r="A70">
        <f>A44*(A$66/10^6)^(1/3)</f>
        <v>52122.209601857343</v>
      </c>
      <c r="B70" t="s">
        <v>563</v>
      </c>
    </row>
    <row r="71" spans="1:3" x14ac:dyDescent="0.25">
      <c r="A71" s="15">
        <f>A69/1000</f>
        <v>57.788220546481973</v>
      </c>
      <c r="B71" s="8" t="s">
        <v>564</v>
      </c>
    </row>
    <row r="72" spans="1:3" x14ac:dyDescent="0.25">
      <c r="A72" s="15">
        <f>A70/1000</f>
        <v>52.122209601857342</v>
      </c>
      <c r="B72" s="8" t="s">
        <v>565</v>
      </c>
    </row>
    <row r="75" spans="1:3" x14ac:dyDescent="0.25">
      <c r="A75" t="s">
        <v>566</v>
      </c>
    </row>
    <row r="76" spans="1:3" x14ac:dyDescent="0.25">
      <c r="A76">
        <v>50</v>
      </c>
      <c r="B76" t="s">
        <v>567</v>
      </c>
    </row>
    <row r="77" spans="1:3" x14ac:dyDescent="0.25">
      <c r="A77">
        <v>45</v>
      </c>
      <c r="B77" t="s">
        <v>568</v>
      </c>
    </row>
    <row r="79" spans="1:3" ht="15.75" thickBot="1" x14ac:dyDescent="0.3">
      <c r="A79" t="s">
        <v>569</v>
      </c>
    </row>
    <row r="80" spans="1:3" x14ac:dyDescent="0.25">
      <c r="A80" s="74">
        <v>6310</v>
      </c>
      <c r="B80" s="75" t="s">
        <v>570</v>
      </c>
      <c r="C80" s="76"/>
    </row>
    <row r="81" spans="1:6" x14ac:dyDescent="0.25">
      <c r="A81" s="77">
        <v>50</v>
      </c>
      <c r="B81" s="8" t="s">
        <v>571</v>
      </c>
      <c r="C81" s="78"/>
    </row>
    <row r="82" spans="1:6" x14ac:dyDescent="0.25">
      <c r="A82" s="79">
        <v>61.8</v>
      </c>
      <c r="B82" t="s">
        <v>572</v>
      </c>
      <c r="C82" s="80"/>
    </row>
    <row r="83" spans="1:6" x14ac:dyDescent="0.25">
      <c r="A83" s="79">
        <v>110</v>
      </c>
      <c r="B83" t="s">
        <v>573</v>
      </c>
      <c r="C83" s="80"/>
    </row>
    <row r="84" spans="1:6" ht="15.75" thickBot="1" x14ac:dyDescent="0.3">
      <c r="A84" s="81">
        <v>27</v>
      </c>
      <c r="B84" s="82" t="s">
        <v>574</v>
      </c>
      <c r="C84" s="83"/>
    </row>
    <row r="86" spans="1:6" x14ac:dyDescent="0.25">
      <c r="A86" s="59" t="s">
        <v>609</v>
      </c>
      <c r="B86" s="54"/>
      <c r="C86" s="54"/>
      <c r="D86" s="54"/>
      <c r="E86" s="54"/>
      <c r="F86" s="55"/>
    </row>
    <row r="88" spans="1:6" x14ac:dyDescent="0.25">
      <c r="A88" t="s">
        <v>575</v>
      </c>
    </row>
    <row r="89" spans="1:6" x14ac:dyDescent="0.25">
      <c r="A89" t="s">
        <v>576</v>
      </c>
    </row>
    <row r="90" spans="1:6" x14ac:dyDescent="0.25">
      <c r="A90">
        <f>50/30.32</f>
        <v>1.6490765171503958</v>
      </c>
    </row>
    <row r="92" spans="1:6" x14ac:dyDescent="0.25">
      <c r="A92" t="s">
        <v>577</v>
      </c>
    </row>
    <row r="93" spans="1:6" x14ac:dyDescent="0.25">
      <c r="A93" t="s">
        <v>584</v>
      </c>
    </row>
    <row r="94" spans="1:6" x14ac:dyDescent="0.25">
      <c r="A94" s="60" t="s">
        <v>583</v>
      </c>
      <c r="B94" s="61"/>
      <c r="C94" s="60" t="s">
        <v>578</v>
      </c>
      <c r="D94" s="61"/>
    </row>
    <row r="95" spans="1:6" x14ac:dyDescent="0.25">
      <c r="A95" s="62">
        <f>2*13.45</f>
        <v>26.9</v>
      </c>
      <c r="B95" s="63" t="s">
        <v>101</v>
      </c>
      <c r="C95" s="64">
        <f>A95*A$90</f>
        <v>44.360158311345643</v>
      </c>
      <c r="D95" s="63" t="s">
        <v>101</v>
      </c>
    </row>
    <row r="96" spans="1:6" x14ac:dyDescent="0.25">
      <c r="A96" s="62">
        <f>2*18.27</f>
        <v>36.54</v>
      </c>
      <c r="B96" s="63" t="s">
        <v>100</v>
      </c>
      <c r="C96" s="64">
        <f>A96*A$90</f>
        <v>60.257255936675463</v>
      </c>
      <c r="D96" s="63" t="s">
        <v>100</v>
      </c>
    </row>
    <row r="97" spans="1:7" x14ac:dyDescent="0.25">
      <c r="A97" s="62">
        <f>2*21.1</f>
        <v>42.2</v>
      </c>
      <c r="B97" s="63" t="s">
        <v>579</v>
      </c>
      <c r="C97" s="62">
        <v>50</v>
      </c>
      <c r="D97" s="63" t="s">
        <v>579</v>
      </c>
    </row>
    <row r="98" spans="1:7" x14ac:dyDescent="0.25">
      <c r="A98" s="62">
        <f>2*37.5</f>
        <v>75</v>
      </c>
      <c r="B98" s="63" t="s">
        <v>580</v>
      </c>
      <c r="C98" s="64">
        <f>A98*A$90</f>
        <v>123.68073878627969</v>
      </c>
      <c r="D98" s="63" t="s">
        <v>580</v>
      </c>
      <c r="E98" s="5" t="s">
        <v>214</v>
      </c>
      <c r="F98" t="s">
        <v>585</v>
      </c>
    </row>
    <row r="99" spans="1:7" x14ac:dyDescent="0.25">
      <c r="A99" s="62">
        <f>2*32.37</f>
        <v>64.739999999999995</v>
      </c>
      <c r="B99" s="63" t="s">
        <v>581</v>
      </c>
      <c r="C99" s="64">
        <f>A99*A$90</f>
        <v>106.76121372031662</v>
      </c>
      <c r="D99" s="63" t="s">
        <v>581</v>
      </c>
      <c r="F99" t="s">
        <v>586</v>
      </c>
    </row>
    <row r="100" spans="1:7" x14ac:dyDescent="0.25">
      <c r="A100" s="57">
        <f>2*15.16</f>
        <v>30.32</v>
      </c>
      <c r="B100" s="58" t="s">
        <v>582</v>
      </c>
      <c r="C100" s="57">
        <v>50</v>
      </c>
      <c r="D100" s="58" t="s">
        <v>582</v>
      </c>
      <c r="F100">
        <v>115</v>
      </c>
      <c r="G100" t="s">
        <v>527</v>
      </c>
    </row>
    <row r="102" spans="1:7" x14ac:dyDescent="0.25">
      <c r="A102" t="s">
        <v>587</v>
      </c>
    </row>
  </sheetData>
  <phoneticPr fontId="9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36E69-79EB-4CEB-AE65-BF38C7A3EE29}">
  <dimension ref="B3:Q9"/>
  <sheetViews>
    <sheetView tabSelected="1" zoomScale="10" zoomScaleNormal="10" workbookViewId="0">
      <selection activeCell="BM163" sqref="BM163"/>
    </sheetView>
  </sheetViews>
  <sheetFormatPr defaultRowHeight="15" x14ac:dyDescent="0.25"/>
  <sheetData>
    <row r="3" spans="2:17" ht="15.75" thickBot="1" x14ac:dyDescent="0.3">
      <c r="B3" t="s">
        <v>588</v>
      </c>
    </row>
    <row r="4" spans="2:17" ht="16.5" thickTop="1" thickBot="1" x14ac:dyDescent="0.3">
      <c r="B4" s="65" t="s">
        <v>589</v>
      </c>
      <c r="C4" s="66"/>
      <c r="D4" s="66"/>
      <c r="E4" s="66"/>
      <c r="F4" s="66"/>
      <c r="G4" s="67"/>
      <c r="I4" s="5" t="s">
        <v>594</v>
      </c>
      <c r="J4" s="71" t="s">
        <v>595</v>
      </c>
      <c r="K4" s="72"/>
      <c r="L4" s="72"/>
      <c r="M4" s="72"/>
      <c r="N4" s="72"/>
      <c r="O4" s="72"/>
      <c r="P4" s="72"/>
      <c r="Q4" s="73"/>
    </row>
    <row r="5" spans="2:17" ht="15.75" thickTop="1" x14ac:dyDescent="0.25">
      <c r="B5" t="s">
        <v>590</v>
      </c>
    </row>
    <row r="6" spans="2:17" x14ac:dyDescent="0.25">
      <c r="B6">
        <f>5/8*25.4</f>
        <v>15.875</v>
      </c>
      <c r="C6" t="s">
        <v>591</v>
      </c>
    </row>
    <row r="7" spans="2:17" ht="15.75" thickBot="1" x14ac:dyDescent="0.3">
      <c r="B7">
        <f>B6*1.2</f>
        <v>19.05</v>
      </c>
      <c r="C7" t="s">
        <v>592</v>
      </c>
    </row>
    <row r="8" spans="2:17" ht="16.5" thickTop="1" thickBot="1" x14ac:dyDescent="0.3">
      <c r="B8" s="68">
        <f>B7*3</f>
        <v>57.150000000000006</v>
      </c>
      <c r="C8" s="69" t="s">
        <v>593</v>
      </c>
      <c r="D8" s="70"/>
    </row>
    <row r="9" spans="2:17" ht="15.75" thickTop="1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fb3bab-bd4a-4e44-b367-b06a783702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74E150F4C6CC42940331CDC595E0FD" ma:contentTypeVersion="17" ma:contentTypeDescription="Create a new document." ma:contentTypeScope="" ma:versionID="13fb8dd58493e88b6e061e81c465b937">
  <xsd:schema xmlns:xsd="http://www.w3.org/2001/XMLSchema" xmlns:xs="http://www.w3.org/2001/XMLSchema" xmlns:p="http://schemas.microsoft.com/office/2006/metadata/properties" xmlns:ns3="c7fb3bab-bd4a-4e44-b367-b06a78370207" xmlns:ns4="7d46744a-76f7-40f4-89c6-29b8b3abf119" targetNamespace="http://schemas.microsoft.com/office/2006/metadata/properties" ma:root="true" ma:fieldsID="459327d35c0fb3a21dc3f738e91bbba5" ns3:_="" ns4:_="">
    <xsd:import namespace="c7fb3bab-bd4a-4e44-b367-b06a78370207"/>
    <xsd:import namespace="7d46744a-76f7-40f4-89c6-29b8b3abf1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b3bab-bd4a-4e44-b367-b06a783702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6744a-76f7-40f4-89c6-29b8b3abf1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E1EBE4-5D49-46B7-93A2-99A665939A59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d46744a-76f7-40f4-89c6-29b8b3abf119"/>
    <ds:schemaRef ds:uri="c7fb3bab-bd4a-4e44-b367-b06a78370207"/>
  </ds:schemaRefs>
</ds:datastoreItem>
</file>

<file path=customXml/itemProps2.xml><?xml version="1.0" encoding="utf-8"?>
<ds:datastoreItem xmlns:ds="http://schemas.openxmlformats.org/officeDocument/2006/customXml" ds:itemID="{55905E3A-0B8C-4F59-8CF7-9D3FC5C112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FBE2A1-585B-4189-B10E-F62D98C4A0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fb3bab-bd4a-4e44-b367-b06a78370207"/>
    <ds:schemaRef ds:uri="7d46744a-76f7-40f4-89c6-29b8b3abf1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part a)</vt:lpstr>
      <vt:lpstr>part b)</vt:lpstr>
      <vt:lpstr>Part c)</vt:lpstr>
      <vt:lpstr>Part d)</vt:lpstr>
      <vt:lpstr>Part e)</vt:lpstr>
      <vt:lpstr>Part f)</vt:lpstr>
      <vt:lpstr>Part 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Darcy Hodge</dc:creator>
  <cp:lastModifiedBy>Darcy Hodge</cp:lastModifiedBy>
  <dcterms:created xsi:type="dcterms:W3CDTF">2025-05-20T04:11:05Z</dcterms:created>
  <dcterms:modified xsi:type="dcterms:W3CDTF">2025-06-09T10:07:29Z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0x010100C074E150F4C6CC42940331CDC595E0FD</vt:lpwstr>
  </property>
</Properties>
</file>